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АП" sheetId="1" r:id="rId1"/>
    <sheet name="ПП" sheetId="2" r:id="rId2"/>
    <sheet name="ОП" sheetId="3" r:id="rId3"/>
    <sheet name="УВП" sheetId="4" r:id="rId4"/>
    <sheet name="Медики" sheetId="5" r:id="rId5"/>
  </sheets>
  <definedNames/>
  <calcPr fullCalcOnLoad="1" refMode="R1C1"/>
</workbook>
</file>

<file path=xl/sharedStrings.xml><?xml version="1.0" encoding="utf-8"?>
<sst xmlns="http://schemas.openxmlformats.org/spreadsheetml/2006/main" count="810" uniqueCount="308">
  <si>
    <t>Директор</t>
  </si>
  <si>
    <t>Итого зам. директора</t>
  </si>
  <si>
    <t>Итого воспитатель</t>
  </si>
  <si>
    <t>Гл. бухгалтер</t>
  </si>
  <si>
    <t>секретарь</t>
  </si>
  <si>
    <t>Итого УВП</t>
  </si>
  <si>
    <t>Итого ОП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</si>
  <si>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</si>
  <si>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</si>
  <si>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</si>
  <si>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</si>
  <si>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</si>
  <si>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</si>
  <si>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</si>
  <si>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</si>
  <si>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</si>
  <si>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</si>
  <si>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</si>
  <si>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</si>
  <si>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</si>
  <si>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</si>
  <si>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</si>
  <si>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</si>
  <si>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</si>
  <si>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</si>
  <si>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</si>
  <si>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</si>
  <si>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</si>
  <si>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</si>
  <si>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П.П.</t>
  </si>
  <si>
    <t>Итого педагог- организатор</t>
  </si>
  <si>
    <t>Соц. педагог</t>
  </si>
  <si>
    <t>Итого  соц. педагог</t>
  </si>
  <si>
    <t>педагог-психолог</t>
  </si>
  <si>
    <t>Итого педагог-психолог</t>
  </si>
  <si>
    <t>Итого педагог доп. образования</t>
  </si>
  <si>
    <t>учитель</t>
  </si>
  <si>
    <t>Итого по учителям</t>
  </si>
  <si>
    <t>воспитатель</t>
  </si>
  <si>
    <t>Всего:</t>
  </si>
  <si>
    <t>Группа образовательного учреждения по оплате труда № 1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</si>
  <si>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</si>
  <si>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</si>
  <si>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</si>
  <si>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</si>
  <si>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</si>
  <si>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Всего</t>
  </si>
  <si>
    <t>Должностной оклад с учетом коэф.</t>
  </si>
  <si>
    <t>Коэф.квал.катег</t>
  </si>
  <si>
    <t>Должностной оклад с округлением</t>
  </si>
  <si>
    <t>первая</t>
  </si>
  <si>
    <t>высшая</t>
  </si>
  <si>
    <t xml:space="preserve">воспитатель </t>
  </si>
  <si>
    <t>Должностной оклад с коэф. специф.</t>
  </si>
  <si>
    <t xml:space="preserve"> Должностной оклад с учетом коэф. Специфики</t>
  </si>
  <si>
    <t xml:space="preserve">Должностной оклад </t>
  </si>
  <si>
    <t>Должностной оклад с учетом округ</t>
  </si>
  <si>
    <t>ПДО</t>
  </si>
  <si>
    <t>пед.-организ</t>
  </si>
  <si>
    <t>Основная часть ФОТб-</t>
  </si>
  <si>
    <t>Всего основная часть ФОТб-</t>
  </si>
  <si>
    <t>Основная часть-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</si>
  <si>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</si>
  <si>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</si>
  <si>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</si>
  <si>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</si>
  <si>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</si>
  <si>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</si>
  <si>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</si>
  <si>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</si>
  <si>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</si>
  <si>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</si>
  <si>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</si>
  <si>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ОП</t>
  </si>
  <si>
    <t>вакансия</t>
  </si>
  <si>
    <t>дворник</t>
  </si>
  <si>
    <t>Итого дворник</t>
  </si>
  <si>
    <t>уб.служ.помещений (</t>
  </si>
  <si>
    <t>Итого уборщик служебных помещений</t>
  </si>
  <si>
    <t>УВП</t>
  </si>
  <si>
    <t>Итого бухгалтер</t>
  </si>
  <si>
    <t>бухгалтер</t>
  </si>
  <si>
    <t>Итого секретарь</t>
  </si>
  <si>
    <t>Итого зав. библиотекарь</t>
  </si>
  <si>
    <t>высшее</t>
  </si>
  <si>
    <t>лаборант</t>
  </si>
  <si>
    <t>Итого лаборант</t>
  </si>
  <si>
    <t>час</t>
  </si>
  <si>
    <t>вахтер</t>
  </si>
  <si>
    <t>мл. воспитатель</t>
  </si>
  <si>
    <t>Итого мл.воспитатель</t>
  </si>
  <si>
    <t>от 10 до 15</t>
  </si>
  <si>
    <t xml:space="preserve">     </t>
  </si>
  <si>
    <t>Мед.стаж</t>
  </si>
  <si>
    <t>Коэф. Квалифик. Категории</t>
  </si>
  <si>
    <t>Повышающий коэфициент</t>
  </si>
  <si>
    <t xml:space="preserve">мл.мед.сестра </t>
  </si>
  <si>
    <t>Итого</t>
  </si>
  <si>
    <t>Врач - специалист</t>
  </si>
  <si>
    <t>Итого врач- специалист</t>
  </si>
  <si>
    <t>Итого УВП мед. персонала</t>
  </si>
  <si>
    <t>Итого медсестра</t>
  </si>
  <si>
    <t>вред. Условия</t>
  </si>
  <si>
    <t>%</t>
  </si>
  <si>
    <t>ставки</t>
  </si>
  <si>
    <t>медсестра по массажу</t>
  </si>
  <si>
    <t>Итого медсестра по массажу</t>
  </si>
  <si>
    <t>повар</t>
  </si>
  <si>
    <t>Итого повар</t>
  </si>
  <si>
    <t>Шеф-повар</t>
  </si>
  <si>
    <t>Итого шеф- повар</t>
  </si>
  <si>
    <t>кастелянша</t>
  </si>
  <si>
    <t>Итого кастелянша</t>
  </si>
  <si>
    <t>Итого швея по ремонту одежды</t>
  </si>
  <si>
    <t>грузчик</t>
  </si>
  <si>
    <t>Итого грузчик</t>
  </si>
  <si>
    <t>Итого слесарь-электромантер</t>
  </si>
  <si>
    <t>Итого рабочий</t>
  </si>
  <si>
    <t>слесарь- сантехник</t>
  </si>
  <si>
    <t>Итого слесарь-сантехник</t>
  </si>
  <si>
    <t>Зав.складом</t>
  </si>
  <si>
    <t>мастер уч. мастерских</t>
  </si>
  <si>
    <t>Итого мастер уч.мастерских</t>
  </si>
  <si>
    <t>подсобный рабочий</t>
  </si>
  <si>
    <t>Итого подсобный рабочий</t>
  </si>
  <si>
    <t>водитель</t>
  </si>
  <si>
    <t>Итого водитель</t>
  </si>
  <si>
    <t>машинист по стирке</t>
  </si>
  <si>
    <t>Итого вахтер</t>
  </si>
  <si>
    <t>учитель логопед</t>
  </si>
  <si>
    <t>врач-педиатр</t>
  </si>
  <si>
    <t>врач-невролог</t>
  </si>
  <si>
    <t>врач-физиотерапевт</t>
  </si>
  <si>
    <t>врач-лор</t>
  </si>
  <si>
    <t>врач-гастроэнтэролог</t>
  </si>
  <si>
    <t>Обслуживающий персонал</t>
  </si>
  <si>
    <t>Приложение № 4</t>
  </si>
  <si>
    <t xml:space="preserve">Н.В.Ушкова </t>
  </si>
  <si>
    <t>вред. условия</t>
  </si>
  <si>
    <t>свыше15</t>
  </si>
  <si>
    <t>врач-стоматолог</t>
  </si>
  <si>
    <t>Инструктор ЛФК</t>
  </si>
  <si>
    <t>Итого инструктор ЛФК</t>
  </si>
  <si>
    <t>медсестра для круглосуточного дежурства</t>
  </si>
  <si>
    <t xml:space="preserve">высшее </t>
  </si>
  <si>
    <t xml:space="preserve"> </t>
  </si>
  <si>
    <t>Итого сторож</t>
  </si>
  <si>
    <t>сторож</t>
  </si>
  <si>
    <t>слесарь по ремонту</t>
  </si>
  <si>
    <t>Итого слесарь по ремонту</t>
  </si>
  <si>
    <t xml:space="preserve">особые условия </t>
  </si>
  <si>
    <t>врач-окулист</t>
  </si>
  <si>
    <t>Итого мед.по физо</t>
  </si>
  <si>
    <t xml:space="preserve">Итого к оплате </t>
  </si>
  <si>
    <t>МОУ "Санаторно-лесная школа"</t>
  </si>
  <si>
    <t>ср.спец</t>
  </si>
  <si>
    <t>Итого по логопедам</t>
  </si>
  <si>
    <t>высшене</t>
  </si>
  <si>
    <t>библиотекарь</t>
  </si>
  <si>
    <t xml:space="preserve">  </t>
  </si>
  <si>
    <t>Будилкова Л.А.</t>
  </si>
  <si>
    <t>Итого маш. по стирке</t>
  </si>
  <si>
    <t>Зав.хозяйством</t>
  </si>
  <si>
    <t>Итого заведующих</t>
  </si>
  <si>
    <t>Зам. директора по ВР</t>
  </si>
  <si>
    <r>
      <t xml:space="preserve">СТАЖ </t>
    </r>
    <r>
      <rPr>
        <b/>
        <sz val="8"/>
        <rFont val="Times New Roman"/>
        <family val="1"/>
      </rPr>
      <t>руководящей работы</t>
    </r>
  </si>
  <si>
    <t>Коэф. Стажа</t>
  </si>
  <si>
    <t>ср.проф</t>
  </si>
  <si>
    <t>нет</t>
  </si>
  <si>
    <t>швея по ремонту одежды</t>
  </si>
  <si>
    <t xml:space="preserve">вредность </t>
  </si>
  <si>
    <t>% вредность</t>
  </si>
  <si>
    <t>медсестра по физо</t>
  </si>
  <si>
    <t>свыше 15</t>
  </si>
  <si>
    <t xml:space="preserve">вакансия </t>
  </si>
  <si>
    <t>психиатр</t>
  </si>
  <si>
    <t>05.00.00.</t>
  </si>
  <si>
    <t>учитель-логопед.</t>
  </si>
  <si>
    <t>За звание</t>
  </si>
  <si>
    <t>доплата за звание</t>
  </si>
  <si>
    <t>Вредные условия</t>
  </si>
  <si>
    <t>кардиолог</t>
  </si>
  <si>
    <t>ВЫСШЕЕ</t>
  </si>
  <si>
    <t>06  04 18</t>
  </si>
  <si>
    <t>медсестра -ортоптиска</t>
  </si>
  <si>
    <t>Итого медсестра -ортоптиска</t>
  </si>
  <si>
    <t>вакансия нач. зв</t>
  </si>
  <si>
    <t>вакансия сред. зв</t>
  </si>
  <si>
    <t>в том числе ОБ</t>
  </si>
  <si>
    <t>столяр</t>
  </si>
  <si>
    <t>Итого столяр</t>
  </si>
  <si>
    <t>разница</t>
  </si>
  <si>
    <t>об</t>
  </si>
  <si>
    <t>39 06 07</t>
  </si>
  <si>
    <t>ср. проф.</t>
  </si>
  <si>
    <t>39 00 26</t>
  </si>
  <si>
    <t xml:space="preserve">38 00 00 </t>
  </si>
  <si>
    <t xml:space="preserve">34 07 24 </t>
  </si>
  <si>
    <t xml:space="preserve">33 01 07 </t>
  </si>
  <si>
    <t xml:space="preserve">39 01 26 </t>
  </si>
  <si>
    <t>33 07 05</t>
  </si>
  <si>
    <t xml:space="preserve">25 01 01 </t>
  </si>
  <si>
    <t xml:space="preserve">40 01 23 </t>
  </si>
  <si>
    <t>44 11 25</t>
  </si>
  <si>
    <t xml:space="preserve">14 07 26 </t>
  </si>
  <si>
    <t>31 08 05</t>
  </si>
  <si>
    <t xml:space="preserve">21 07 02 </t>
  </si>
  <si>
    <t xml:space="preserve">40 08 25 </t>
  </si>
  <si>
    <t xml:space="preserve">36 04 04 </t>
  </si>
  <si>
    <t>16.00.07</t>
  </si>
  <si>
    <t>0б</t>
  </si>
  <si>
    <t>рабочий по комплексному обслуживанию и ремонту зданий</t>
  </si>
  <si>
    <t>слесарь-электромантер</t>
  </si>
  <si>
    <t>Зам. директора по УВР</t>
  </si>
  <si>
    <t>зам директора по УВР</t>
  </si>
  <si>
    <t>ОБ</t>
  </si>
  <si>
    <t>ГБ</t>
  </si>
  <si>
    <t>вр</t>
  </si>
  <si>
    <t>звание</t>
  </si>
  <si>
    <t>от 0 до 10</t>
  </si>
  <si>
    <t>Гб</t>
  </si>
  <si>
    <t>справка</t>
  </si>
  <si>
    <t>справка и распред</t>
  </si>
  <si>
    <t>гб</t>
  </si>
  <si>
    <t>ПП</t>
  </si>
  <si>
    <t>Педагог доп.образования</t>
  </si>
  <si>
    <t>Журавлева Л.М.</t>
  </si>
  <si>
    <t>Бухгалтер</t>
  </si>
  <si>
    <t>Коэф.специф.работы</t>
  </si>
  <si>
    <t>Главный бухгалтер</t>
  </si>
  <si>
    <t>без категории</t>
  </si>
  <si>
    <t>36 07 20</t>
  </si>
  <si>
    <t>18 07 01</t>
  </si>
  <si>
    <t>40 11 15</t>
  </si>
  <si>
    <t>41 06 07</t>
  </si>
  <si>
    <t>25 09 21</t>
  </si>
  <si>
    <t>29 00 00</t>
  </si>
  <si>
    <t>27 02 16</t>
  </si>
  <si>
    <t>08 01 02</t>
  </si>
  <si>
    <t>14 11 26</t>
  </si>
  <si>
    <t>Гл.бухгалтер</t>
  </si>
  <si>
    <t>Е.Г.Вознесенская</t>
  </si>
  <si>
    <t>35.02.22</t>
  </si>
  <si>
    <t>41 11 15</t>
  </si>
  <si>
    <t>37 07 20</t>
  </si>
  <si>
    <t>27 03 11</t>
  </si>
  <si>
    <t>17 11 25</t>
  </si>
  <si>
    <t>32 06 01</t>
  </si>
  <si>
    <t>23 00 18</t>
  </si>
  <si>
    <t>12 02 11</t>
  </si>
  <si>
    <t>35 02 01</t>
  </si>
  <si>
    <t>10 00 10</t>
  </si>
  <si>
    <t>49 10 12</t>
  </si>
  <si>
    <t>07 05 18</t>
  </si>
  <si>
    <t>07 00 06</t>
  </si>
  <si>
    <t>07 00 00</t>
  </si>
  <si>
    <t xml:space="preserve">07 00 00 </t>
  </si>
  <si>
    <t>10 11 03</t>
  </si>
  <si>
    <t>19 04 22</t>
  </si>
  <si>
    <t>18 11 21</t>
  </si>
  <si>
    <t>13 10 11</t>
  </si>
  <si>
    <t>13 07 29</t>
  </si>
  <si>
    <t>36 06 03</t>
  </si>
  <si>
    <t>05 10 21</t>
  </si>
  <si>
    <t>04 00 13</t>
  </si>
  <si>
    <t>10 00 00</t>
  </si>
  <si>
    <t>03 07 18</t>
  </si>
  <si>
    <t>07 04 03</t>
  </si>
  <si>
    <t>12 06 10</t>
  </si>
  <si>
    <t>53 01 16</t>
  </si>
  <si>
    <t>02 08 22</t>
  </si>
  <si>
    <t>02 07 28</t>
  </si>
  <si>
    <t>10 00 20</t>
  </si>
  <si>
    <t>10 08 08</t>
  </si>
  <si>
    <t>06 07 00</t>
  </si>
  <si>
    <t>2 11 25</t>
  </si>
  <si>
    <t>среднее</t>
  </si>
  <si>
    <t xml:space="preserve">среднее </t>
  </si>
  <si>
    <t>04 10 12</t>
  </si>
  <si>
    <t>28 11 20</t>
  </si>
  <si>
    <t>13 09 03</t>
  </si>
  <si>
    <t>08 11 21</t>
  </si>
  <si>
    <t>0 07 13</t>
  </si>
  <si>
    <t>07 07 20</t>
  </si>
  <si>
    <t>48 09 26</t>
  </si>
  <si>
    <t>35 00 08</t>
  </si>
  <si>
    <t>30 00 00</t>
  </si>
  <si>
    <t xml:space="preserve">Гл.бухгалтер </t>
  </si>
  <si>
    <t>36 04 04</t>
  </si>
  <si>
    <t>Заведующая библиотекой</t>
  </si>
  <si>
    <t>Итого  библиотекарь</t>
  </si>
  <si>
    <t>ср. окл</t>
  </si>
  <si>
    <t>средне-специальное</t>
  </si>
  <si>
    <t>04 06 13</t>
  </si>
  <si>
    <t>07 08 18</t>
  </si>
  <si>
    <t>10 01 24</t>
  </si>
  <si>
    <t>Пед.стаж на 01.01.2022</t>
  </si>
  <si>
    <t>10 07 20</t>
  </si>
  <si>
    <t>08 01 13</t>
  </si>
  <si>
    <t>10 06 08</t>
  </si>
  <si>
    <t>10 01 11</t>
  </si>
  <si>
    <t>10 03 03</t>
  </si>
  <si>
    <t>Расшифровка  окладов по административному персоналу на 01.09.202   г.</t>
  </si>
  <si>
    <t>Расшифровка по педагогическому персоналу к расчету фонда з/платы на 01.09.202     г</t>
  </si>
  <si>
    <t>МОУ "                                                                                               "</t>
  </si>
  <si>
    <t xml:space="preserve">Должностные оклады  на 01.09.202   </t>
  </si>
  <si>
    <t>Должностные оклады  на 01.09.202      учебно-вспомогательный персонал</t>
  </si>
  <si>
    <t>Расшифровка по медицинскому персоналу к расчету фонда з/платы на 01.09.202   г.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</si>
</sst>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0.0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0.00000000"/>
    <numFmt numFmtId="188" formatCode="[$-FC19]d\ mmmm\ yyyy\ &quot;г.&quot;"/>
    <numFmt numFmtId="189" formatCode="dd/mm/yy;@"/>
    <numFmt numFmtId="190" formatCode="d/m/yy;@"/>
    <numFmt numFmtId="191" formatCode="#,##0.0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</numFmts>
  <fonts count="8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Arial Cyr"/>
      <family val="2"/>
    </font>
    <font>
      <sz val="9"/>
      <color theme="1"/>
      <name val="Arial Cyr"/>
      <family val="2"/>
    </font>
    <font>
      <sz val="10"/>
      <color theme="1"/>
      <name val="Arial Cyr"/>
      <family val="2"/>
    </font>
    <font>
      <sz val="8"/>
      <color theme="1"/>
      <name val="Arial Cyr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92D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73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2" fontId="75" fillId="33" borderId="10" xfId="0" applyNumberFormat="1" applyFont="1" applyFill="1" applyBorder="1" applyAlignment="1">
      <alignment/>
    </xf>
    <xf numFmtId="2" fontId="74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2" fontId="74" fillId="34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2" fontId="74" fillId="33" borderId="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184" fontId="74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9" fillId="33" borderId="0" xfId="0" applyFont="1" applyFill="1" applyAlignment="1">
      <alignment/>
    </xf>
    <xf numFmtId="191" fontId="7" fillId="34" borderId="10" xfId="0" applyNumberFormat="1" applyFont="1" applyFill="1" applyBorder="1" applyAlignment="1">
      <alignment/>
    </xf>
    <xf numFmtId="2" fontId="80" fillId="34" borderId="10" xfId="0" applyNumberFormat="1" applyFont="1" applyFill="1" applyBorder="1" applyAlignment="1">
      <alignment/>
    </xf>
    <xf numFmtId="191" fontId="7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0" fontId="75" fillId="33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75" fillId="35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75" fillId="35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0" fontId="2" fillId="37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7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82" fillId="37" borderId="0" xfId="0" applyNumberFormat="1" applyFont="1" applyFill="1" applyAlignment="1">
      <alignment/>
    </xf>
    <xf numFmtId="2" fontId="80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80" fillId="0" borderId="0" xfId="0" applyFont="1" applyAlignment="1">
      <alignment/>
    </xf>
    <xf numFmtId="0" fontId="73" fillId="0" borderId="0" xfId="0" applyFont="1" applyAlignment="1">
      <alignment/>
    </xf>
    <xf numFmtId="0" fontId="80" fillId="33" borderId="0" xfId="0" applyFont="1" applyFill="1" applyAlignment="1">
      <alignment/>
    </xf>
    <xf numFmtId="16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0" fillId="33" borderId="10" xfId="0" applyFont="1" applyFill="1" applyBorder="1" applyAlignment="1">
      <alignment horizontal="center" wrapText="1"/>
    </xf>
    <xf numFmtId="191" fontId="81" fillId="33" borderId="10" xfId="0" applyNumberFormat="1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0" fillId="33" borderId="0" xfId="0" applyFont="1" applyFill="1" applyAlignment="1">
      <alignment/>
    </xf>
    <xf numFmtId="2" fontId="2" fillId="37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6" fillId="0" borderId="0" xfId="0" applyFont="1" applyAlignment="1">
      <alignment wrapText="1"/>
    </xf>
    <xf numFmtId="2" fontId="75" fillId="11" borderId="1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0" fontId="2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171" fontId="6" fillId="0" borderId="10" xfId="60" applyFont="1" applyBorder="1" applyAlignment="1">
      <alignment/>
    </xf>
    <xf numFmtId="197" fontId="6" fillId="0" borderId="10" xfId="6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71" fontId="6" fillId="39" borderId="10" xfId="60" applyFont="1" applyFill="1" applyBorder="1" applyAlignment="1">
      <alignment/>
    </xf>
    <xf numFmtId="171" fontId="6" fillId="39" borderId="10" xfId="6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71" fontId="6" fillId="33" borderId="10" xfId="60" applyFont="1" applyFill="1" applyBorder="1" applyAlignment="1">
      <alignment/>
    </xf>
    <xf numFmtId="197" fontId="6" fillId="33" borderId="10" xfId="6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/>
    </xf>
    <xf numFmtId="0" fontId="73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2" fontId="81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81" fillId="33" borderId="0" xfId="0" applyNumberFormat="1" applyFont="1" applyFill="1" applyBorder="1" applyAlignment="1">
      <alignment/>
    </xf>
    <xf numFmtId="171" fontId="6" fillId="36" borderId="10" xfId="60" applyFont="1" applyFill="1" applyBorder="1" applyAlignment="1">
      <alignment/>
    </xf>
    <xf numFmtId="0" fontId="6" fillId="36" borderId="10" xfId="0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81" fontId="7" fillId="36" borderId="10" xfId="0" applyNumberFormat="1" applyFont="1" applyFill="1" applyBorder="1" applyAlignment="1">
      <alignment horizontal="center"/>
    </xf>
    <xf numFmtId="197" fontId="6" fillId="36" borderId="10" xfId="6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/>
    </xf>
    <xf numFmtId="171" fontId="6" fillId="35" borderId="10" xfId="60" applyFont="1" applyFill="1" applyBorder="1" applyAlignment="1">
      <alignment/>
    </xf>
    <xf numFmtId="181" fontId="7" fillId="35" borderId="10" xfId="0" applyNumberFormat="1" applyFont="1" applyFill="1" applyBorder="1" applyAlignment="1">
      <alignment horizontal="center"/>
    </xf>
    <xf numFmtId="197" fontId="6" fillId="35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1" fontId="6" fillId="0" borderId="0" xfId="60" applyFont="1" applyAlignment="1">
      <alignment/>
    </xf>
    <xf numFmtId="181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1" fontId="7" fillId="0" borderId="10" xfId="6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7" fillId="36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2" fontId="0" fillId="36" borderId="10" xfId="0" applyNumberFormat="1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2" fontId="11" fillId="11" borderId="10" xfId="0" applyNumberFormat="1" applyFont="1" applyFill="1" applyBorder="1" applyAlignment="1">
      <alignment/>
    </xf>
    <xf numFmtId="171" fontId="6" fillId="33" borderId="10" xfId="6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171" fontId="6" fillId="33" borderId="13" xfId="60" applyFont="1" applyFill="1" applyBorder="1" applyAlignment="1">
      <alignment/>
    </xf>
    <xf numFmtId="181" fontId="6" fillId="33" borderId="13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0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171" fontId="6" fillId="40" borderId="10" xfId="6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171" fontId="6" fillId="41" borderId="10" xfId="60" applyFont="1" applyFill="1" applyBorder="1" applyAlignment="1">
      <alignment/>
    </xf>
    <xf numFmtId="171" fontId="6" fillId="41" borderId="10" xfId="60" applyFont="1" applyFill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75" fillId="36" borderId="10" xfId="0" applyFont="1" applyFill="1" applyBorder="1" applyAlignment="1">
      <alignment/>
    </xf>
    <xf numFmtId="2" fontId="75" fillId="36" borderId="10" xfId="0" applyNumberFormat="1" applyFont="1" applyFill="1" applyBorder="1" applyAlignment="1">
      <alignment/>
    </xf>
    <xf numFmtId="2" fontId="74" fillId="36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2" fontId="74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2" fillId="37" borderId="0" xfId="0" applyNumberFormat="1" applyFont="1" applyFill="1" applyAlignment="1">
      <alignment/>
    </xf>
    <xf numFmtId="171" fontId="6" fillId="0" borderId="0" xfId="0" applyNumberFormat="1" applyFont="1" applyAlignment="1">
      <alignment/>
    </xf>
    <xf numFmtId="181" fontId="81" fillId="33" borderId="10" xfId="0" applyNumberFormat="1" applyFont="1" applyFill="1" applyBorder="1" applyAlignment="1">
      <alignment horizontal="center"/>
    </xf>
    <xf numFmtId="181" fontId="86" fillId="33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/>
    </xf>
    <xf numFmtId="171" fontId="6" fillId="43" borderId="10" xfId="60" applyFont="1" applyFill="1" applyBorder="1" applyAlignment="1">
      <alignment/>
    </xf>
    <xf numFmtId="171" fontId="6" fillId="42" borderId="10" xfId="60" applyFont="1" applyFill="1" applyBorder="1" applyAlignment="1">
      <alignment/>
    </xf>
    <xf numFmtId="0" fontId="14" fillId="42" borderId="10" xfId="0" applyFont="1" applyFill="1" applyBorder="1" applyAlignment="1">
      <alignment horizontal="left" vertical="center"/>
    </xf>
    <xf numFmtId="0" fontId="19" fillId="42" borderId="10" xfId="0" applyFont="1" applyFill="1" applyBorder="1" applyAlignment="1">
      <alignment/>
    </xf>
    <xf numFmtId="14" fontId="6" fillId="42" borderId="10" xfId="0" applyNumberFormat="1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 vertical="center"/>
    </xf>
    <xf numFmtId="171" fontId="7" fillId="42" borderId="10" xfId="60" applyFont="1" applyFill="1" applyBorder="1" applyAlignment="1">
      <alignment/>
    </xf>
    <xf numFmtId="0" fontId="7" fillId="42" borderId="10" xfId="0" applyFont="1" applyFill="1" applyBorder="1" applyAlignment="1">
      <alignment/>
    </xf>
    <xf numFmtId="2" fontId="6" fillId="42" borderId="10" xfId="0" applyNumberFormat="1" applyFont="1" applyFill="1" applyBorder="1" applyAlignment="1">
      <alignment horizontal="center" vertical="center"/>
    </xf>
    <xf numFmtId="171" fontId="7" fillId="43" borderId="10" xfId="60" applyFont="1" applyFill="1" applyBorder="1" applyAlignment="1">
      <alignment horizontal="center"/>
    </xf>
    <xf numFmtId="0" fontId="18" fillId="42" borderId="10" xfId="0" applyFont="1" applyFill="1" applyBorder="1" applyAlignment="1">
      <alignment/>
    </xf>
    <xf numFmtId="2" fontId="7" fillId="43" borderId="10" xfId="0" applyNumberFormat="1" applyFont="1" applyFill="1" applyBorder="1" applyAlignment="1">
      <alignment horizontal="center" vertical="center"/>
    </xf>
    <xf numFmtId="171" fontId="6" fillId="43" borderId="10" xfId="60" applyFont="1" applyFill="1" applyBorder="1" applyAlignment="1">
      <alignment horizontal="center"/>
    </xf>
    <xf numFmtId="0" fontId="87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left" vertical="center"/>
    </xf>
    <xf numFmtId="180" fontId="7" fillId="42" borderId="10" xfId="0" applyNumberFormat="1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171" fontId="7" fillId="43" borderId="10" xfId="60" applyFont="1" applyFill="1" applyBorder="1" applyAlignment="1">
      <alignment/>
    </xf>
    <xf numFmtId="181" fontId="7" fillId="42" borderId="10" xfId="0" applyNumberFormat="1" applyFont="1" applyFill="1" applyBorder="1" applyAlignment="1">
      <alignment horizontal="center"/>
    </xf>
    <xf numFmtId="197" fontId="7" fillId="42" borderId="10" xfId="60" applyNumberFormat="1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/>
    </xf>
    <xf numFmtId="171" fontId="7" fillId="42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/>
    </xf>
    <xf numFmtId="0" fontId="13" fillId="42" borderId="10" xfId="0" applyFont="1" applyFill="1" applyBorder="1" applyAlignment="1">
      <alignment horizontal="center"/>
    </xf>
    <xf numFmtId="181" fontId="7" fillId="42" borderId="10" xfId="0" applyNumberFormat="1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 horizontal="center"/>
    </xf>
    <xf numFmtId="197" fontId="6" fillId="42" borderId="10" xfId="6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171" fontId="7" fillId="36" borderId="10" xfId="60" applyFont="1" applyFill="1" applyBorder="1" applyAlignment="1">
      <alignment/>
    </xf>
    <xf numFmtId="191" fontId="6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4" fillId="42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tabSelected="1" zoomScalePageLayoutView="0" workbookViewId="0" topLeftCell="A1">
      <selection activeCell="K8" sqref="K8:K13"/>
    </sheetView>
  </sheetViews>
  <sheetFormatPr defaultColWidth="9.00390625" defaultRowHeight="12.75"/>
  <cols>
    <col min="1" max="1" width="15.25390625" style="6" customWidth="1"/>
    <col min="2" max="2" width="20.125" style="0" customWidth="1"/>
    <col min="3" max="3" width="9.00390625" style="0" customWidth="1"/>
    <col min="4" max="4" width="5.375" style="0" customWidth="1"/>
    <col min="5" max="5" width="8.75390625" style="0" customWidth="1"/>
    <col min="6" max="6" width="5.75390625" style="0" customWidth="1"/>
    <col min="7" max="8" width="6.125" style="0" customWidth="1"/>
    <col min="9" max="9" width="10.625" style="0" customWidth="1"/>
    <col min="10" max="10" width="10.625" style="15" customWidth="1"/>
    <col min="11" max="11" width="5.125" style="0" customWidth="1"/>
    <col min="12" max="12" width="12.00390625" style="0" customWidth="1"/>
    <col min="13" max="13" width="11.375" style="7" customWidth="1"/>
    <col min="14" max="14" width="6.25390625" style="0" customWidth="1"/>
    <col min="15" max="15" width="9.875" style="0" customWidth="1"/>
    <col min="16" max="194" width="9.125" style="7" customWidth="1"/>
  </cols>
  <sheetData>
    <row r="1" spans="2:15" ht="12.75">
      <c r="B1" s="3" t="s">
        <v>154</v>
      </c>
      <c r="C1" s="2"/>
      <c r="D1" s="2"/>
      <c r="E1" s="2"/>
      <c r="F1" s="2"/>
      <c r="G1" s="2"/>
      <c r="H1" s="2"/>
      <c r="I1" s="2"/>
      <c r="J1" s="16"/>
      <c r="K1" s="2"/>
      <c r="L1" s="2"/>
      <c r="N1" s="2"/>
      <c r="O1" s="2"/>
    </row>
    <row r="2" spans="2:15" ht="12.75">
      <c r="B2" s="319" t="s">
        <v>302</v>
      </c>
      <c r="C2" s="320"/>
      <c r="D2" s="320"/>
      <c r="E2" s="320"/>
      <c r="F2" s="320"/>
      <c r="G2" s="320"/>
      <c r="H2" s="320"/>
      <c r="I2" s="320"/>
      <c r="J2" s="17"/>
      <c r="K2" s="27"/>
      <c r="L2" s="27" t="s">
        <v>136</v>
      </c>
      <c r="M2" s="28"/>
      <c r="N2" s="27"/>
      <c r="O2" s="27"/>
    </row>
    <row r="3" spans="2:15" ht="12.75">
      <c r="B3" s="4"/>
      <c r="C3" s="4"/>
      <c r="D3" s="4"/>
      <c r="E3" s="4"/>
      <c r="F3" s="4"/>
      <c r="G3" s="4"/>
      <c r="H3" s="4"/>
      <c r="I3" s="4"/>
      <c r="J3" s="17"/>
      <c r="K3" s="4"/>
      <c r="L3" s="4"/>
      <c r="N3" s="4"/>
      <c r="O3" s="4"/>
    </row>
    <row r="4" spans="1:15" ht="12.75">
      <c r="A4" s="4" t="s">
        <v>40</v>
      </c>
      <c r="B4" s="4"/>
      <c r="C4" s="4"/>
      <c r="D4" s="4"/>
      <c r="E4" s="4"/>
      <c r="F4" s="4"/>
      <c r="G4" s="4"/>
      <c r="H4" s="4"/>
      <c r="I4" s="4"/>
      <c r="J4" s="17"/>
      <c r="K4" s="4"/>
      <c r="L4" s="4"/>
      <c r="N4" s="4"/>
      <c r="O4" s="4"/>
    </row>
    <row r="5" spans="2:15" ht="12.75">
      <c r="B5" s="4"/>
      <c r="C5" s="4"/>
      <c r="D5" s="4"/>
      <c r="E5" s="4"/>
      <c r="F5" s="4"/>
      <c r="G5" s="4"/>
      <c r="H5" s="4"/>
      <c r="I5" s="4"/>
      <c r="J5" s="17"/>
      <c r="K5" s="4"/>
      <c r="L5" s="4"/>
      <c r="N5" s="4"/>
      <c r="O5" s="4"/>
    </row>
    <row r="6" spans="1:15" ht="12.75">
      <c r="A6" s="9"/>
      <c r="B6" s="9"/>
      <c r="C6" s="9"/>
      <c r="D6" s="318" t="s">
        <v>61</v>
      </c>
      <c r="E6" s="318"/>
      <c r="F6" s="318"/>
      <c r="G6" s="318"/>
      <c r="H6" s="318"/>
      <c r="I6" s="318"/>
      <c r="J6" s="318"/>
      <c r="K6" s="318"/>
      <c r="L6" s="318"/>
      <c r="M6" s="318"/>
      <c r="N6" s="7"/>
      <c r="O6" s="7"/>
    </row>
    <row r="7" spans="1:244" s="4" customFormat="1" ht="114.75">
      <c r="A7" s="25" t="s">
        <v>9</v>
      </c>
      <c r="B7" s="32" t="s">
        <v>41</v>
      </c>
      <c r="C7" s="32" t="s">
        <v>165</v>
      </c>
      <c r="D7" s="32" t="s">
        <v>14</v>
      </c>
      <c r="E7" s="55" t="s">
        <v>42</v>
      </c>
      <c r="F7" s="56" t="s">
        <v>43</v>
      </c>
      <c r="G7" s="31" t="s">
        <v>44</v>
      </c>
      <c r="H7" s="31" t="s">
        <v>166</v>
      </c>
      <c r="I7" s="57" t="s">
        <v>55</v>
      </c>
      <c r="J7" s="237" t="s">
        <v>56</v>
      </c>
      <c r="K7" s="31" t="s">
        <v>45</v>
      </c>
      <c r="L7" s="265" t="s">
        <v>54</v>
      </c>
      <c r="M7" s="32" t="s">
        <v>16</v>
      </c>
      <c r="N7" s="67" t="s">
        <v>171</v>
      </c>
      <c r="O7" s="67" t="s">
        <v>170</v>
      </c>
      <c r="P7" s="12" t="s">
        <v>218</v>
      </c>
      <c r="Q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7" ht="12.75">
      <c r="A8" s="24"/>
      <c r="B8" s="80" t="s">
        <v>0</v>
      </c>
      <c r="C8" s="24" t="s">
        <v>238</v>
      </c>
      <c r="D8" s="24"/>
      <c r="E8" s="26">
        <v>5942</v>
      </c>
      <c r="F8" s="26">
        <v>3.33</v>
      </c>
      <c r="G8" s="24">
        <v>1</v>
      </c>
      <c r="H8" s="24">
        <v>0.8</v>
      </c>
      <c r="I8" s="65">
        <f>E8*(F8*G8+H8)</f>
        <v>24540.46</v>
      </c>
      <c r="J8" s="91">
        <f>ROUND(I8,0)</f>
        <v>24540</v>
      </c>
      <c r="K8" s="26"/>
      <c r="L8" s="126">
        <f>J8*K8</f>
        <v>0</v>
      </c>
      <c r="M8" s="65">
        <f>ROUND(D8*L8,2)</f>
        <v>0</v>
      </c>
      <c r="N8" s="65"/>
      <c r="O8" s="65">
        <f>M8*N8/100</f>
        <v>0</v>
      </c>
      <c r="P8" s="12"/>
      <c r="Q8" t="s">
        <v>192</v>
      </c>
    </row>
    <row r="9" spans="1:17" ht="12.75">
      <c r="A9" s="52"/>
      <c r="B9" s="78" t="s">
        <v>164</v>
      </c>
      <c r="C9" s="52" t="s">
        <v>176</v>
      </c>
      <c r="D9" s="52"/>
      <c r="E9" s="26">
        <v>5942</v>
      </c>
      <c r="F9" s="79">
        <v>3.33</v>
      </c>
      <c r="G9" s="52">
        <v>0.8</v>
      </c>
      <c r="H9" s="52">
        <v>0.8</v>
      </c>
      <c r="I9" s="79">
        <f>E9*(F9*G9+H9)</f>
        <v>20583.088000000003</v>
      </c>
      <c r="J9" s="91">
        <f>ROUND(I9,0)</f>
        <v>20583</v>
      </c>
      <c r="K9" s="79"/>
      <c r="L9" s="266">
        <f>J9*K9</f>
        <v>0</v>
      </c>
      <c r="M9" s="79">
        <f>ROUND(D9*L9,2)</f>
        <v>0</v>
      </c>
      <c r="N9" s="65"/>
      <c r="O9" s="79">
        <f>ROUND(M9*N9/100,2)</f>
        <v>0</v>
      </c>
      <c r="P9" s="12"/>
      <c r="Q9" t="s">
        <v>223</v>
      </c>
    </row>
    <row r="10" spans="1:17" ht="12.75">
      <c r="A10" s="52"/>
      <c r="B10" s="78" t="s">
        <v>213</v>
      </c>
      <c r="C10" s="52" t="s">
        <v>239</v>
      </c>
      <c r="D10" s="52"/>
      <c r="E10" s="26">
        <v>5942</v>
      </c>
      <c r="F10" s="79">
        <v>3.33</v>
      </c>
      <c r="G10" s="52">
        <v>0.8</v>
      </c>
      <c r="H10" s="52">
        <v>0.8</v>
      </c>
      <c r="I10" s="79">
        <f>E10*(F10*G10+H10)</f>
        <v>20583.088000000003</v>
      </c>
      <c r="J10" s="91">
        <f>ROUND(I10,0)</f>
        <v>20583</v>
      </c>
      <c r="K10" s="79"/>
      <c r="L10" s="266">
        <f>J10*K10</f>
        <v>0</v>
      </c>
      <c r="M10" s="79">
        <f>ROUND(D10*L10,2)</f>
        <v>0</v>
      </c>
      <c r="N10" s="65"/>
      <c r="O10" s="79">
        <f>M10*N10/100</f>
        <v>0</v>
      </c>
      <c r="P10" s="12"/>
      <c r="Q10" t="s">
        <v>192</v>
      </c>
    </row>
    <row r="11" spans="1:17" ht="12.75">
      <c r="A11" s="52"/>
      <c r="B11" s="78" t="s">
        <v>214</v>
      </c>
      <c r="C11" s="52" t="s">
        <v>183</v>
      </c>
      <c r="D11" s="52"/>
      <c r="E11" s="26">
        <v>5942</v>
      </c>
      <c r="F11" s="79">
        <v>3.33</v>
      </c>
      <c r="G11" s="52">
        <v>0.8</v>
      </c>
      <c r="H11" s="52">
        <v>0.8</v>
      </c>
      <c r="I11" s="79">
        <f>E11*(F11*G11+H11)</f>
        <v>20583.088000000003</v>
      </c>
      <c r="J11" s="91">
        <f>ROUND(I11,0)</f>
        <v>20583</v>
      </c>
      <c r="K11" s="79"/>
      <c r="L11" s="266">
        <f>J11*K11</f>
        <v>0</v>
      </c>
      <c r="M11" s="79">
        <f>ROUND(D11*L11,2)</f>
        <v>0</v>
      </c>
      <c r="N11" s="65"/>
      <c r="O11" s="79">
        <f>M11*N11/100</f>
        <v>0</v>
      </c>
      <c r="P11" s="9">
        <f>ROUND(M11*0.1,2)</f>
        <v>0</v>
      </c>
      <c r="Q11" t="s">
        <v>192</v>
      </c>
    </row>
    <row r="12" spans="1:244" s="4" customFormat="1" ht="15" customHeight="1">
      <c r="A12" s="52"/>
      <c r="B12" s="80" t="s">
        <v>1</v>
      </c>
      <c r="C12" s="53"/>
      <c r="D12" s="53">
        <f>SUM(D9:D11)</f>
        <v>0</v>
      </c>
      <c r="E12" s="79"/>
      <c r="F12" s="79"/>
      <c r="G12" s="53"/>
      <c r="H12" s="53"/>
      <c r="I12" s="65"/>
      <c r="J12" s="65"/>
      <c r="K12" s="65"/>
      <c r="L12" s="65"/>
      <c r="M12" s="53">
        <f>SUM(M9:M11)</f>
        <v>0</v>
      </c>
      <c r="N12" s="53"/>
      <c r="O12" s="53">
        <f>SUM(O9:O11)</f>
        <v>0</v>
      </c>
      <c r="P12" s="53">
        <f>SUM(P9:P11)</f>
        <v>0</v>
      </c>
      <c r="Q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4" customFormat="1" ht="12.75">
      <c r="A13" s="52"/>
      <c r="B13" s="81" t="s">
        <v>3</v>
      </c>
      <c r="C13" s="53" t="s">
        <v>209</v>
      </c>
      <c r="D13" s="53"/>
      <c r="E13" s="26">
        <v>5942</v>
      </c>
      <c r="F13" s="79">
        <v>3.33</v>
      </c>
      <c r="G13" s="52">
        <v>0.75</v>
      </c>
      <c r="H13" s="52">
        <v>0.8</v>
      </c>
      <c r="I13" s="65">
        <f>E13*(F13*G13+H13)</f>
        <v>19593.745000000003</v>
      </c>
      <c r="J13" s="91">
        <f>ROUND(I13,0)</f>
        <v>19594</v>
      </c>
      <c r="K13" s="79"/>
      <c r="L13" s="126">
        <f>J13*K13</f>
        <v>0</v>
      </c>
      <c r="M13" s="65">
        <f>ROUND(D13*L13,2)</f>
        <v>0</v>
      </c>
      <c r="N13" s="82"/>
      <c r="O13" s="65">
        <v>0</v>
      </c>
      <c r="P13" s="12"/>
      <c r="Q13" t="s">
        <v>192</v>
      </c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17" ht="12.75">
      <c r="A14" s="52"/>
      <c r="B14" s="80" t="s">
        <v>46</v>
      </c>
      <c r="C14" s="83"/>
      <c r="D14" s="53">
        <f>D8+D12+D13</f>
        <v>0</v>
      </c>
      <c r="E14" s="52"/>
      <c r="F14" s="52"/>
      <c r="G14" s="52"/>
      <c r="H14" s="52"/>
      <c r="I14" s="52"/>
      <c r="J14" s="52"/>
      <c r="K14" s="52"/>
      <c r="L14" s="52"/>
      <c r="M14" s="65">
        <f>M8+M12+M13</f>
        <v>0</v>
      </c>
      <c r="N14" s="53">
        <f>N8+N12+N13</f>
        <v>0</v>
      </c>
      <c r="O14" s="53">
        <f>O8+O12+O13</f>
        <v>0</v>
      </c>
      <c r="P14" s="53">
        <f>P8+P12+P13</f>
        <v>0</v>
      </c>
      <c r="Q14"/>
    </row>
    <row r="15" spans="13:15" ht="12.75">
      <c r="M15" s="5"/>
      <c r="O15" s="54"/>
    </row>
    <row r="16" ht="12.75">
      <c r="O16" t="s">
        <v>217</v>
      </c>
    </row>
    <row r="17" spans="1:15" ht="15">
      <c r="A17" s="22" t="s">
        <v>0</v>
      </c>
      <c r="B17" s="23"/>
      <c r="C17" s="23"/>
      <c r="D17" s="23"/>
      <c r="E17" s="23"/>
      <c r="L17" s="12" t="s">
        <v>215</v>
      </c>
      <c r="M17" s="127">
        <f>M14-M18</f>
        <v>0</v>
      </c>
      <c r="N17" s="12"/>
      <c r="O17" s="127">
        <f>O14-O18</f>
        <v>0</v>
      </c>
    </row>
    <row r="18" spans="1:15" ht="15">
      <c r="A18" s="22"/>
      <c r="B18" s="23"/>
      <c r="C18" s="23"/>
      <c r="D18" s="23"/>
      <c r="E18" s="23"/>
      <c r="L18" s="12" t="s">
        <v>216</v>
      </c>
      <c r="M18" s="127">
        <f>M9</f>
        <v>0</v>
      </c>
      <c r="N18" s="12"/>
      <c r="O18" s="127">
        <f>O9</f>
        <v>0</v>
      </c>
    </row>
    <row r="19" spans="1:5" ht="15">
      <c r="A19" s="22" t="s">
        <v>240</v>
      </c>
      <c r="B19" s="23"/>
      <c r="C19" s="321"/>
      <c r="D19" s="320"/>
      <c r="E19" s="320"/>
    </row>
    <row r="22" ht="12.75">
      <c r="M22" s="8"/>
    </row>
    <row r="25" ht="12.75">
      <c r="I25" s="54"/>
    </row>
    <row r="26" ht="12.75">
      <c r="A26" s="19"/>
    </row>
    <row r="27" ht="12.75">
      <c r="A27" s="19"/>
    </row>
  </sheetData>
  <sheetProtection/>
  <mergeCells count="3">
    <mergeCell ref="D6:M6"/>
    <mergeCell ref="B2:I2"/>
    <mergeCell ref="C19:E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24"/>
  <sheetViews>
    <sheetView zoomScale="90" zoomScaleNormal="9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9" sqref="D109:F109"/>
    </sheetView>
  </sheetViews>
  <sheetFormatPr defaultColWidth="9.00390625" defaultRowHeight="12.75"/>
  <cols>
    <col min="1" max="1" width="17.375" style="203" customWidth="1"/>
    <col min="2" max="2" width="11.25390625" style="29" customWidth="1"/>
    <col min="3" max="3" width="11.625" style="29" customWidth="1"/>
    <col min="4" max="4" width="13.625" style="29" customWidth="1"/>
    <col min="5" max="5" width="11.125" style="29" customWidth="1"/>
    <col min="6" max="6" width="9.375" style="185" customWidth="1"/>
    <col min="7" max="7" width="7.00390625" style="185" customWidth="1"/>
    <col min="8" max="8" width="6.25390625" style="29" customWidth="1"/>
    <col min="9" max="9" width="4.625" style="184" customWidth="1"/>
    <col min="10" max="10" width="6.75390625" style="184" customWidth="1"/>
    <col min="11" max="11" width="5.625" style="184" customWidth="1"/>
    <col min="12" max="12" width="4.375" style="184" customWidth="1"/>
    <col min="13" max="13" width="12.125" style="29" customWidth="1"/>
    <col min="14" max="14" width="12.875" style="29" customWidth="1"/>
    <col min="15" max="15" width="7.875" style="184" customWidth="1"/>
    <col min="16" max="16" width="11.875" style="29" customWidth="1"/>
    <col min="17" max="17" width="13.875" style="29" customWidth="1"/>
    <col min="18" max="18" width="6.125" style="29" customWidth="1"/>
    <col min="19" max="19" width="8.75390625" style="29" customWidth="1"/>
    <col min="20" max="20" width="6.125" style="29" customWidth="1"/>
    <col min="21" max="21" width="11.375" style="111" customWidth="1"/>
    <col min="22" max="22" width="13.25390625" style="29" customWidth="1"/>
    <col min="23" max="23" width="1.875" style="29" customWidth="1"/>
    <col min="24" max="24" width="13.625" style="29" customWidth="1"/>
    <col min="25" max="25" width="9.75390625" style="29" customWidth="1"/>
    <col min="26" max="26" width="14.375" style="29" customWidth="1"/>
    <col min="27" max="27" width="10.00390625" style="29" customWidth="1"/>
    <col min="28" max="28" width="13.75390625" style="29" customWidth="1"/>
    <col min="29" max="29" width="9.00390625" style="29" hidden="1" customWidth="1"/>
    <col min="30" max="30" width="0.12890625" style="29" hidden="1" customWidth="1"/>
    <col min="31" max="31" width="9.625" style="30" customWidth="1"/>
    <col min="32" max="32" width="15.25390625" style="29" customWidth="1"/>
    <col min="33" max="33" width="10.375" style="29" bestFit="1" customWidth="1"/>
    <col min="34" max="34" width="24.25390625" style="29" customWidth="1"/>
    <col min="35" max="37" width="9.125" style="29" customWidth="1"/>
    <col min="38" max="38" width="12.375" style="29" customWidth="1"/>
    <col min="39" max="39" width="9.125" style="29" customWidth="1"/>
    <col min="40" max="40" width="11.75390625" style="29" customWidth="1"/>
    <col min="41" max="41" width="9.125" style="29" customWidth="1"/>
    <col min="42" max="42" width="24.25390625" style="29" customWidth="1"/>
    <col min="43" max="45" width="9.125" style="29" customWidth="1"/>
    <col min="46" max="46" width="12.375" style="29" customWidth="1"/>
    <col min="47" max="47" width="9.125" style="29" customWidth="1"/>
    <col min="48" max="48" width="11.75390625" style="29" customWidth="1"/>
    <col min="49" max="49" width="9.125" style="29" customWidth="1"/>
    <col min="50" max="50" width="24.25390625" style="29" customWidth="1"/>
    <col min="51" max="53" width="9.125" style="29" customWidth="1"/>
    <col min="54" max="54" width="12.375" style="29" customWidth="1"/>
    <col min="55" max="55" width="9.125" style="29" customWidth="1"/>
    <col min="56" max="56" width="11.75390625" style="29" customWidth="1"/>
    <col min="57" max="57" width="9.125" style="29" customWidth="1"/>
    <col min="58" max="58" width="24.25390625" style="29" customWidth="1"/>
    <col min="59" max="61" width="9.125" style="29" customWidth="1"/>
    <col min="62" max="62" width="12.375" style="29" customWidth="1"/>
    <col min="63" max="63" width="9.125" style="29" customWidth="1"/>
    <col min="64" max="64" width="11.75390625" style="29" customWidth="1"/>
    <col min="65" max="65" width="13.125" style="29" customWidth="1"/>
    <col min="66" max="66" width="5.125" style="29" customWidth="1"/>
    <col min="67" max="67" width="24.125" style="29" customWidth="1"/>
    <col min="68" max="69" width="6.875" style="29" customWidth="1"/>
    <col min="70" max="70" width="9.125" style="29" customWidth="1"/>
    <col min="71" max="71" width="10.25390625" style="29" customWidth="1"/>
    <col min="72" max="72" width="9.125" style="29" customWidth="1"/>
    <col min="73" max="73" width="10.25390625" style="29" customWidth="1"/>
    <col min="74" max="78" width="9.125" style="29" customWidth="1"/>
    <col min="79" max="79" width="5.125" style="29" customWidth="1"/>
    <col min="80" max="80" width="24.125" style="29" customWidth="1"/>
    <col min="81" max="82" width="6.875" style="29" customWidth="1"/>
    <col min="83" max="83" width="9.125" style="29" customWidth="1"/>
    <col min="84" max="84" width="10.25390625" style="29" customWidth="1"/>
    <col min="85" max="85" width="9.125" style="29" customWidth="1"/>
    <col min="86" max="86" width="10.25390625" style="29" customWidth="1"/>
    <col min="87" max="16384" width="9.125" style="29" customWidth="1"/>
  </cols>
  <sheetData>
    <row r="1" ht="12.75">
      <c r="C1" s="113" t="s">
        <v>304</v>
      </c>
    </row>
    <row r="2" spans="1:90" ht="12.75">
      <c r="A2" s="204" t="s">
        <v>159</v>
      </c>
      <c r="C2" s="333" t="s">
        <v>303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0"/>
      <c r="O2" s="205"/>
      <c r="P2" s="30"/>
      <c r="Q2" s="30"/>
      <c r="R2" s="30"/>
      <c r="S2" s="30"/>
      <c r="T2" s="30"/>
      <c r="U2" s="110"/>
      <c r="V2" s="30"/>
      <c r="W2" s="30"/>
      <c r="X2" s="30"/>
      <c r="Y2" s="30"/>
      <c r="Z2" s="30"/>
      <c r="AA2" s="30"/>
      <c r="AB2" s="30"/>
      <c r="AC2" s="30"/>
      <c r="AD2" s="30"/>
      <c r="AF2" s="30"/>
      <c r="AH2" s="113"/>
      <c r="AI2" s="30"/>
      <c r="AJ2" s="30"/>
      <c r="AK2" s="30"/>
      <c r="AL2" s="30"/>
      <c r="AM2" s="30"/>
      <c r="AN2" s="30"/>
      <c r="AP2" s="113"/>
      <c r="AQ2" s="30"/>
      <c r="AR2" s="30"/>
      <c r="AS2" s="30"/>
      <c r="AT2" s="30"/>
      <c r="AU2" s="30"/>
      <c r="AV2" s="30"/>
      <c r="AX2" s="113"/>
      <c r="AY2" s="30"/>
      <c r="AZ2" s="30"/>
      <c r="BA2" s="30"/>
      <c r="BB2" s="30"/>
      <c r="BC2" s="30"/>
      <c r="BD2" s="30"/>
      <c r="BF2" s="113"/>
      <c r="BG2" s="30"/>
      <c r="BH2" s="30"/>
      <c r="BI2" s="30"/>
      <c r="BJ2" s="30"/>
      <c r="BK2" s="30"/>
      <c r="BL2" s="30"/>
      <c r="BN2" s="28"/>
      <c r="BO2" s="27"/>
      <c r="BP2" s="28"/>
      <c r="BQ2" s="28"/>
      <c r="BR2" s="28"/>
      <c r="BS2" s="28"/>
      <c r="BT2" s="28"/>
      <c r="BU2" s="28"/>
      <c r="BV2" s="28"/>
      <c r="BW2" s="28"/>
      <c r="BX2" s="28"/>
      <c r="BY2" s="28"/>
      <c r="CA2" s="28"/>
      <c r="CB2" s="27"/>
      <c r="CC2" s="28"/>
      <c r="CD2" s="28"/>
      <c r="CE2" s="28"/>
      <c r="CF2" s="28"/>
      <c r="CG2" s="28"/>
      <c r="CH2" s="28"/>
      <c r="CI2" s="28"/>
      <c r="CJ2" s="28"/>
      <c r="CK2" s="28"/>
      <c r="CL2" s="28"/>
    </row>
    <row r="3" spans="1:91" ht="12.75" customHeight="1">
      <c r="A3" s="197"/>
      <c r="B3" s="138"/>
      <c r="C3" s="138"/>
      <c r="D3" s="138"/>
      <c r="E3" s="138"/>
      <c r="F3" s="138"/>
      <c r="G3" s="138"/>
      <c r="H3" s="325" t="s">
        <v>59</v>
      </c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139"/>
      <c r="U3" s="140"/>
      <c r="V3" s="139"/>
      <c r="W3" s="139"/>
      <c r="X3" s="325" t="s">
        <v>60</v>
      </c>
      <c r="Y3" s="325" t="s">
        <v>7</v>
      </c>
      <c r="Z3" s="325"/>
      <c r="AA3" s="325"/>
      <c r="AB3" s="325"/>
      <c r="AC3" s="325"/>
      <c r="AD3" s="325"/>
      <c r="AE3" s="325" t="s">
        <v>8</v>
      </c>
      <c r="AF3" s="325"/>
      <c r="AG3" s="27"/>
      <c r="AI3" s="27"/>
      <c r="AJ3" s="27"/>
      <c r="AK3" s="27"/>
      <c r="AL3" s="27"/>
      <c r="AM3" s="27"/>
      <c r="AN3" s="27"/>
      <c r="AO3" s="27"/>
      <c r="AQ3" s="27"/>
      <c r="AR3" s="27"/>
      <c r="AS3" s="27"/>
      <c r="AT3" s="27"/>
      <c r="AU3" s="27"/>
      <c r="AV3" s="27"/>
      <c r="AW3" s="27"/>
      <c r="AY3" s="27"/>
      <c r="AZ3" s="27"/>
      <c r="BA3" s="27"/>
      <c r="BB3" s="27"/>
      <c r="BC3" s="27"/>
      <c r="BD3" s="27"/>
      <c r="BE3" s="27"/>
      <c r="BG3" s="27"/>
      <c r="BH3" s="27"/>
      <c r="BI3" s="27"/>
      <c r="BJ3" s="27"/>
      <c r="BK3" s="27"/>
      <c r="BL3" s="27"/>
      <c r="BM3" s="2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</row>
    <row r="4" spans="1:91" ht="37.5" customHeight="1">
      <c r="A4" s="326" t="s">
        <v>9</v>
      </c>
      <c r="B4" s="325" t="s">
        <v>10</v>
      </c>
      <c r="C4" s="325" t="s">
        <v>296</v>
      </c>
      <c r="D4" s="330" t="s">
        <v>11</v>
      </c>
      <c r="E4" s="326" t="s">
        <v>12</v>
      </c>
      <c r="F4" s="325" t="s">
        <v>13</v>
      </c>
      <c r="G4" s="325" t="s">
        <v>14</v>
      </c>
      <c r="H4" s="327" t="s">
        <v>15</v>
      </c>
      <c r="I4" s="327" t="s">
        <v>21</v>
      </c>
      <c r="J4" s="327" t="s">
        <v>22</v>
      </c>
      <c r="K4" s="327" t="s">
        <v>23</v>
      </c>
      <c r="L4" s="327" t="s">
        <v>48</v>
      </c>
      <c r="M4" s="335" t="s">
        <v>47</v>
      </c>
      <c r="N4" s="336" t="s">
        <v>49</v>
      </c>
      <c r="O4" s="331" t="s">
        <v>228</v>
      </c>
      <c r="P4" s="332" t="s">
        <v>53</v>
      </c>
      <c r="Q4" s="325" t="s">
        <v>16</v>
      </c>
      <c r="R4" s="247" t="s">
        <v>17</v>
      </c>
      <c r="S4" s="248"/>
      <c r="T4" s="249"/>
      <c r="U4" s="143" t="s">
        <v>150</v>
      </c>
      <c r="V4" s="141" t="s">
        <v>178</v>
      </c>
      <c r="W4" s="249"/>
      <c r="X4" s="325"/>
      <c r="Y4" s="325" t="s">
        <v>18</v>
      </c>
      <c r="Z4" s="325"/>
      <c r="AA4" s="325" t="s">
        <v>19</v>
      </c>
      <c r="AB4" s="325"/>
      <c r="AC4" s="328" t="s">
        <v>20</v>
      </c>
      <c r="AD4" s="329"/>
      <c r="AE4" s="326" t="s">
        <v>7</v>
      </c>
      <c r="AF4" s="326"/>
      <c r="AG4" s="27"/>
      <c r="AI4" s="27"/>
      <c r="AJ4" s="27"/>
      <c r="AK4" s="27"/>
      <c r="AL4" s="27"/>
      <c r="AM4" s="27"/>
      <c r="AN4" s="27"/>
      <c r="AO4" s="27"/>
      <c r="AQ4" s="27"/>
      <c r="AR4" s="27"/>
      <c r="AS4" s="27"/>
      <c r="AT4" s="27"/>
      <c r="AU4" s="27"/>
      <c r="AV4" s="27"/>
      <c r="AW4" s="27"/>
      <c r="AY4" s="27"/>
      <c r="AZ4" s="27"/>
      <c r="BA4" s="27"/>
      <c r="BB4" s="27"/>
      <c r="BC4" s="27"/>
      <c r="BD4" s="27"/>
      <c r="BE4" s="27"/>
      <c r="BG4" s="27"/>
      <c r="BH4" s="27"/>
      <c r="BI4" s="27"/>
      <c r="BJ4" s="27"/>
      <c r="BK4" s="27"/>
      <c r="BL4" s="27"/>
      <c r="BM4" s="27"/>
      <c r="BO4" s="28"/>
      <c r="BP4" s="116"/>
      <c r="BQ4" s="267"/>
      <c r="BR4" s="116"/>
      <c r="BS4" s="28"/>
      <c r="BT4" s="28"/>
      <c r="BU4" s="28"/>
      <c r="BV4" s="28"/>
      <c r="BW4" s="27"/>
      <c r="BX4" s="27"/>
      <c r="BY4" s="27"/>
      <c r="BZ4" s="28"/>
      <c r="CB4" s="28"/>
      <c r="CC4" s="116"/>
      <c r="CD4" s="267"/>
      <c r="CE4" s="116"/>
      <c r="CF4" s="28"/>
      <c r="CG4" s="28"/>
      <c r="CH4" s="27"/>
      <c r="CI4" s="27"/>
      <c r="CJ4" s="27"/>
      <c r="CK4" s="27"/>
      <c r="CL4" s="27"/>
      <c r="CM4" s="28"/>
    </row>
    <row r="5" spans="1:91" ht="33" customHeight="1">
      <c r="A5" s="326"/>
      <c r="B5" s="325"/>
      <c r="C5" s="325"/>
      <c r="D5" s="330"/>
      <c r="E5" s="326"/>
      <c r="F5" s="326"/>
      <c r="G5" s="325"/>
      <c r="H5" s="327"/>
      <c r="I5" s="325"/>
      <c r="J5" s="326"/>
      <c r="K5" s="326"/>
      <c r="L5" s="325"/>
      <c r="M5" s="335"/>
      <c r="N5" s="336"/>
      <c r="O5" s="331"/>
      <c r="P5" s="332"/>
      <c r="Q5" s="325"/>
      <c r="R5" s="141" t="s">
        <v>24</v>
      </c>
      <c r="S5" s="142" t="s">
        <v>25</v>
      </c>
      <c r="T5" s="141" t="s">
        <v>87</v>
      </c>
      <c r="U5" s="142" t="s">
        <v>25</v>
      </c>
      <c r="V5" s="142" t="s">
        <v>25</v>
      </c>
      <c r="W5" s="141"/>
      <c r="X5" s="325"/>
      <c r="Y5" s="139" t="s">
        <v>27</v>
      </c>
      <c r="Z5" s="189" t="s">
        <v>25</v>
      </c>
      <c r="AA5" s="139" t="s">
        <v>27</v>
      </c>
      <c r="AB5" s="139" t="s">
        <v>25</v>
      </c>
      <c r="AC5" s="138" t="s">
        <v>27</v>
      </c>
      <c r="AD5" s="138" t="s">
        <v>25</v>
      </c>
      <c r="AE5" s="139" t="s">
        <v>28</v>
      </c>
      <c r="AF5" s="138" t="s">
        <v>26</v>
      </c>
      <c r="AG5" s="27"/>
      <c r="AI5" s="27"/>
      <c r="AJ5" s="27"/>
      <c r="AK5" s="27"/>
      <c r="AL5" s="27"/>
      <c r="AM5" s="27"/>
      <c r="AN5" s="27"/>
      <c r="AO5" s="27"/>
      <c r="AQ5" s="27"/>
      <c r="AR5" s="27"/>
      <c r="AS5" s="27"/>
      <c r="AT5" s="27"/>
      <c r="AU5" s="27"/>
      <c r="AV5" s="27"/>
      <c r="AW5" s="27"/>
      <c r="AY5" s="27"/>
      <c r="AZ5" s="27"/>
      <c r="BA5" s="27"/>
      <c r="BB5" s="27"/>
      <c r="BC5" s="27"/>
      <c r="BD5" s="27"/>
      <c r="BE5" s="27"/>
      <c r="BG5" s="27"/>
      <c r="BH5" s="27"/>
      <c r="BI5" s="27"/>
      <c r="BJ5" s="27"/>
      <c r="BK5" s="27"/>
      <c r="BL5" s="27"/>
      <c r="BM5" s="27"/>
      <c r="BO5" s="28"/>
      <c r="BP5" s="28"/>
      <c r="BQ5" s="27"/>
      <c r="BR5" s="28"/>
      <c r="BS5" s="28"/>
      <c r="BT5" s="28"/>
      <c r="BU5" s="28"/>
      <c r="BV5" s="28"/>
      <c r="BW5" s="28"/>
      <c r="BX5" s="28"/>
      <c r="BY5" s="27"/>
      <c r="BZ5" s="28"/>
      <c r="CB5" s="28"/>
      <c r="CC5" s="28"/>
      <c r="CD5" s="27"/>
      <c r="CE5" s="28"/>
      <c r="CF5" s="28"/>
      <c r="CG5" s="28"/>
      <c r="CH5" s="28"/>
      <c r="CI5" s="28"/>
      <c r="CJ5" s="28"/>
      <c r="CK5" s="28"/>
      <c r="CL5" s="27"/>
      <c r="CM5" s="28"/>
    </row>
    <row r="6" spans="1:91" ht="12.75">
      <c r="A6" s="198" t="s">
        <v>29</v>
      </c>
      <c r="B6" s="24"/>
      <c r="C6" s="190"/>
      <c r="D6" s="25"/>
      <c r="E6" s="137"/>
      <c r="F6" s="138"/>
      <c r="G6" s="138"/>
      <c r="H6" s="25"/>
      <c r="I6" s="137"/>
      <c r="J6" s="137"/>
      <c r="K6" s="137"/>
      <c r="L6" s="137"/>
      <c r="M6" s="144"/>
      <c r="N6" s="242"/>
      <c r="O6" s="137"/>
      <c r="P6" s="244"/>
      <c r="Q6" s="25"/>
      <c r="R6" s="25"/>
      <c r="S6" s="25"/>
      <c r="T6" s="25"/>
      <c r="U6" s="145"/>
      <c r="V6" s="25"/>
      <c r="W6" s="25"/>
      <c r="X6" s="25"/>
      <c r="Y6" s="25"/>
      <c r="Z6" s="146"/>
      <c r="AA6" s="147"/>
      <c r="AB6" s="25"/>
      <c r="AC6" s="25"/>
      <c r="AD6" s="25"/>
      <c r="AE6" s="25"/>
      <c r="AF6" s="25"/>
      <c r="AG6" s="115"/>
      <c r="AI6" s="28"/>
      <c r="AJ6" s="28"/>
      <c r="AK6" s="28"/>
      <c r="AL6" s="115"/>
      <c r="AM6" s="115"/>
      <c r="AN6" s="28"/>
      <c r="AO6" s="115"/>
      <c r="AQ6" s="28"/>
      <c r="AR6" s="28"/>
      <c r="AS6" s="28"/>
      <c r="AT6" s="115"/>
      <c r="AU6" s="115"/>
      <c r="AV6" s="28"/>
      <c r="AW6" s="115"/>
      <c r="AY6" s="28"/>
      <c r="AZ6" s="28"/>
      <c r="BA6" s="28"/>
      <c r="BB6" s="115"/>
      <c r="BC6" s="115"/>
      <c r="BD6" s="28"/>
      <c r="BE6" s="115"/>
      <c r="BG6" s="28"/>
      <c r="BH6" s="28"/>
      <c r="BI6" s="28"/>
      <c r="BJ6" s="115"/>
      <c r="BK6" s="115"/>
      <c r="BL6" s="28"/>
      <c r="BM6" s="115"/>
      <c r="BO6" s="28"/>
      <c r="BP6" s="28"/>
      <c r="BQ6" s="27"/>
      <c r="BR6" s="28"/>
      <c r="BS6" s="28"/>
      <c r="BT6" s="28"/>
      <c r="BU6" s="28"/>
      <c r="BV6" s="28"/>
      <c r="BW6" s="28"/>
      <c r="BX6" s="28"/>
      <c r="BY6" s="27"/>
      <c r="BZ6" s="115"/>
      <c r="CB6" s="28"/>
      <c r="CC6" s="28"/>
      <c r="CD6" s="27"/>
      <c r="CE6" s="28"/>
      <c r="CF6" s="28"/>
      <c r="CG6" s="28"/>
      <c r="CH6" s="28"/>
      <c r="CI6" s="28"/>
      <c r="CJ6" s="28"/>
      <c r="CK6" s="28"/>
      <c r="CL6" s="27"/>
      <c r="CM6" s="115"/>
    </row>
    <row r="7" spans="1:91" ht="12.75">
      <c r="A7" s="235"/>
      <c r="B7" s="24" t="s">
        <v>155</v>
      </c>
      <c r="C7" s="190" t="s">
        <v>271</v>
      </c>
      <c r="D7" s="25" t="s">
        <v>58</v>
      </c>
      <c r="E7" s="137" t="s">
        <v>230</v>
      </c>
      <c r="F7" s="138"/>
      <c r="G7" s="138">
        <v>0.9</v>
      </c>
      <c r="H7" s="25">
        <v>6739</v>
      </c>
      <c r="I7" s="137">
        <v>0</v>
      </c>
      <c r="J7" s="137">
        <v>0.1</v>
      </c>
      <c r="K7" s="137">
        <v>0.02</v>
      </c>
      <c r="L7" s="137"/>
      <c r="M7" s="144">
        <f>H7*(1+I7+J7+K7+L7)</f>
        <v>7547.68</v>
      </c>
      <c r="N7" s="243">
        <f>ROUND(M7,0)</f>
        <v>7548</v>
      </c>
      <c r="O7" s="213"/>
      <c r="P7" s="313">
        <f>N7*O7</f>
        <v>0</v>
      </c>
      <c r="Q7" s="314">
        <f>ROUND(P7*G7,2)</f>
        <v>0</v>
      </c>
      <c r="R7" s="25"/>
      <c r="S7" s="25"/>
      <c r="T7" s="25"/>
      <c r="U7" s="153">
        <f>ROUND(Q7*20/100,2)</f>
        <v>0</v>
      </c>
      <c r="V7" s="25"/>
      <c r="W7" s="25"/>
      <c r="X7" s="190">
        <f>Q7+S6+U6+V6</f>
        <v>0</v>
      </c>
      <c r="Y7" s="25"/>
      <c r="Z7" s="146"/>
      <c r="AA7" s="147"/>
      <c r="AB7" s="25"/>
      <c r="AC7" s="25"/>
      <c r="AD7" s="25"/>
      <c r="AE7" s="25"/>
      <c r="AF7" s="25"/>
      <c r="AG7" s="115"/>
      <c r="AI7" s="28"/>
      <c r="AJ7" s="28"/>
      <c r="AK7" s="28"/>
      <c r="AL7" s="115"/>
      <c r="AM7" s="115"/>
      <c r="AN7" s="28"/>
      <c r="AO7" s="115"/>
      <c r="AQ7" s="28"/>
      <c r="AR7" s="28"/>
      <c r="AS7" s="28"/>
      <c r="AT7" s="115"/>
      <c r="AU7" s="115"/>
      <c r="AV7" s="28"/>
      <c r="AW7" s="115"/>
      <c r="AY7" s="28"/>
      <c r="AZ7" s="28"/>
      <c r="BA7" s="28"/>
      <c r="BB7" s="115"/>
      <c r="BC7" s="115"/>
      <c r="BD7" s="28"/>
      <c r="BE7" s="115"/>
      <c r="BG7" s="28"/>
      <c r="BH7" s="28"/>
      <c r="BI7" s="28"/>
      <c r="BJ7" s="115"/>
      <c r="BK7" s="115"/>
      <c r="BL7" s="28"/>
      <c r="BM7" s="115"/>
      <c r="BO7" s="28"/>
      <c r="BP7" s="28"/>
      <c r="BQ7" s="27"/>
      <c r="BR7" s="28"/>
      <c r="BS7" s="28"/>
      <c r="BT7" s="28"/>
      <c r="BU7" s="28"/>
      <c r="BV7" s="28"/>
      <c r="BW7" s="28"/>
      <c r="BX7" s="28"/>
      <c r="BY7" s="27"/>
      <c r="BZ7" s="115"/>
      <c r="CB7" s="28"/>
      <c r="CC7" s="28"/>
      <c r="CD7" s="27"/>
      <c r="CE7" s="28"/>
      <c r="CF7" s="28"/>
      <c r="CG7" s="28"/>
      <c r="CH7" s="28"/>
      <c r="CI7" s="28"/>
      <c r="CJ7" s="28"/>
      <c r="CK7" s="28"/>
      <c r="CL7" s="27"/>
      <c r="CM7" s="115"/>
    </row>
    <row r="8" spans="1:91" s="50" customFormat="1" ht="12.75">
      <c r="A8" s="199"/>
      <c r="B8" s="158" t="s">
        <v>84</v>
      </c>
      <c r="C8" s="192" t="s">
        <v>246</v>
      </c>
      <c r="D8" s="207" t="s">
        <v>58</v>
      </c>
      <c r="E8" s="211" t="s">
        <v>50</v>
      </c>
      <c r="F8" s="156"/>
      <c r="G8" s="148">
        <v>0.1</v>
      </c>
      <c r="H8" s="25">
        <v>6739</v>
      </c>
      <c r="I8" s="149">
        <v>0.1</v>
      </c>
      <c r="J8" s="149">
        <v>0.3</v>
      </c>
      <c r="K8" s="149">
        <v>0.02</v>
      </c>
      <c r="L8" s="149">
        <v>0.4</v>
      </c>
      <c r="M8" s="150">
        <f>H8*(1+I8+J8+K8+L8)</f>
        <v>12264.980000000001</v>
      </c>
      <c r="N8" s="243">
        <f>ROUND(M8,0)</f>
        <v>12265</v>
      </c>
      <c r="O8" s="152"/>
      <c r="P8" s="245">
        <f>N8*O8</f>
        <v>0</v>
      </c>
      <c r="Q8" s="229">
        <f>ROUND(P8*G8,2)</f>
        <v>0</v>
      </c>
      <c r="R8" s="52"/>
      <c r="S8" s="52"/>
      <c r="T8" s="52"/>
      <c r="U8" s="153">
        <f>ROUND(Q8*20/100,2)</f>
        <v>0</v>
      </c>
      <c r="V8" s="153"/>
      <c r="W8" s="153"/>
      <c r="X8" s="153">
        <f>Q8+U8+W8</f>
        <v>0</v>
      </c>
      <c r="Y8" s="52"/>
      <c r="Z8" s="153"/>
      <c r="AA8" s="154"/>
      <c r="AB8" s="52"/>
      <c r="AC8" s="52"/>
      <c r="AD8" s="52"/>
      <c r="AE8" s="53"/>
      <c r="AF8" s="153"/>
      <c r="AG8" s="155"/>
      <c r="AI8" s="159"/>
      <c r="AJ8" s="159"/>
      <c r="AK8" s="159"/>
      <c r="AL8" s="155"/>
      <c r="AM8" s="155"/>
      <c r="AN8" s="159"/>
      <c r="AO8" s="155"/>
      <c r="AQ8" s="159"/>
      <c r="AR8" s="159"/>
      <c r="AS8" s="159"/>
      <c r="AT8" s="155"/>
      <c r="AU8" s="155"/>
      <c r="AV8" s="159"/>
      <c r="AW8" s="155"/>
      <c r="AY8" s="159"/>
      <c r="AZ8" s="159"/>
      <c r="BA8" s="159"/>
      <c r="BB8" s="155"/>
      <c r="BC8" s="155"/>
      <c r="BD8" s="159"/>
      <c r="BE8" s="155"/>
      <c r="BG8" s="159"/>
      <c r="BH8" s="159"/>
      <c r="BI8" s="159"/>
      <c r="BJ8" s="155"/>
      <c r="BK8" s="155"/>
      <c r="BL8" s="159"/>
      <c r="BM8" s="155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5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5"/>
    </row>
    <row r="9" spans="1:91" ht="12.75">
      <c r="A9" s="324" t="s">
        <v>30</v>
      </c>
      <c r="B9" s="324"/>
      <c r="C9" s="278"/>
      <c r="D9" s="279"/>
      <c r="E9" s="279"/>
      <c r="F9" s="280"/>
      <c r="G9" s="281">
        <v>1</v>
      </c>
      <c r="H9" s="282"/>
      <c r="I9" s="278"/>
      <c r="J9" s="278"/>
      <c r="K9" s="278"/>
      <c r="L9" s="278"/>
      <c r="M9" s="283"/>
      <c r="N9" s="283"/>
      <c r="O9" s="278"/>
      <c r="P9" s="278"/>
      <c r="Q9" s="289">
        <f>SUM(Q7:Q8)</f>
        <v>0</v>
      </c>
      <c r="R9" s="284">
        <f aca="true" t="shared" si="0" ref="R9:X9">SUM(R7:R8)</f>
        <v>0</v>
      </c>
      <c r="S9" s="284">
        <f t="shared" si="0"/>
        <v>0</v>
      </c>
      <c r="T9" s="284">
        <f t="shared" si="0"/>
        <v>0</v>
      </c>
      <c r="U9" s="289">
        <f t="shared" si="0"/>
        <v>0</v>
      </c>
      <c r="V9" s="284">
        <f t="shared" si="0"/>
        <v>0</v>
      </c>
      <c r="W9" s="284">
        <f t="shared" si="0"/>
        <v>0</v>
      </c>
      <c r="X9" s="289">
        <f t="shared" si="0"/>
        <v>0</v>
      </c>
      <c r="Y9" s="52"/>
      <c r="Z9" s="153"/>
      <c r="AA9" s="154"/>
      <c r="AB9" s="52"/>
      <c r="AC9" s="52"/>
      <c r="AD9" s="52"/>
      <c r="AE9" s="53"/>
      <c r="AF9" s="153"/>
      <c r="AG9" s="115"/>
      <c r="AI9" s="28"/>
      <c r="AJ9" s="28"/>
      <c r="AK9" s="28"/>
      <c r="AL9" s="115"/>
      <c r="AM9" s="115"/>
      <c r="AN9" s="28"/>
      <c r="AO9" s="115"/>
      <c r="AQ9" s="28"/>
      <c r="AR9" s="28"/>
      <c r="AS9" s="28"/>
      <c r="AT9" s="115"/>
      <c r="AU9" s="115"/>
      <c r="AV9" s="28"/>
      <c r="AW9" s="115"/>
      <c r="AY9" s="28"/>
      <c r="AZ9" s="28"/>
      <c r="BA9" s="28"/>
      <c r="BB9" s="115"/>
      <c r="BC9" s="115"/>
      <c r="BD9" s="28"/>
      <c r="BE9" s="115"/>
      <c r="BG9" s="28"/>
      <c r="BH9" s="28"/>
      <c r="BI9" s="28"/>
      <c r="BJ9" s="115"/>
      <c r="BK9" s="115"/>
      <c r="BL9" s="28"/>
      <c r="BM9" s="115"/>
      <c r="BO9" s="28"/>
      <c r="BP9" s="28"/>
      <c r="BQ9" s="27"/>
      <c r="BR9" s="28"/>
      <c r="BS9" s="28"/>
      <c r="BT9" s="28"/>
      <c r="BU9" s="28"/>
      <c r="BV9" s="28"/>
      <c r="BW9" s="28"/>
      <c r="BX9" s="28"/>
      <c r="BY9" s="27"/>
      <c r="BZ9" s="115"/>
      <c r="CB9" s="28"/>
      <c r="CC9" s="28"/>
      <c r="CD9" s="27"/>
      <c r="CE9" s="28"/>
      <c r="CF9" s="28"/>
      <c r="CG9" s="28"/>
      <c r="CH9" s="28"/>
      <c r="CI9" s="28"/>
      <c r="CJ9" s="28"/>
      <c r="CK9" s="28"/>
      <c r="CL9" s="27"/>
      <c r="CM9" s="115"/>
    </row>
    <row r="10" spans="1:91" s="50" customFormat="1" ht="12.75">
      <c r="A10" s="199"/>
      <c r="B10" s="157" t="s">
        <v>84</v>
      </c>
      <c r="C10" s="191" t="s">
        <v>253</v>
      </c>
      <c r="D10" s="208" t="s">
        <v>31</v>
      </c>
      <c r="E10" s="206" t="s">
        <v>50</v>
      </c>
      <c r="F10" s="193"/>
      <c r="G10" s="148">
        <v>0.5</v>
      </c>
      <c r="H10" s="25">
        <v>6739</v>
      </c>
      <c r="I10" s="149">
        <v>0.1</v>
      </c>
      <c r="J10" s="149">
        <v>0.1</v>
      </c>
      <c r="K10" s="149">
        <v>0.02</v>
      </c>
      <c r="L10" s="149">
        <v>0.4</v>
      </c>
      <c r="M10" s="150">
        <f>H10*(1+I10+J10+K10+L10)</f>
        <v>10917.18</v>
      </c>
      <c r="N10" s="243">
        <f>ROUND(M10,0)</f>
        <v>10917</v>
      </c>
      <c r="O10" s="149"/>
      <c r="P10" s="245">
        <f>N10*O10</f>
        <v>0</v>
      </c>
      <c r="Q10" s="153">
        <f>ROUND(P10*G10,2)</f>
        <v>0</v>
      </c>
      <c r="R10" s="52"/>
      <c r="S10" s="52"/>
      <c r="T10" s="52"/>
      <c r="U10" s="153">
        <f>ROUND(Q10*20/100,2)</f>
        <v>0</v>
      </c>
      <c r="V10" s="153"/>
      <c r="W10" s="153"/>
      <c r="X10" s="153">
        <f>Q10+S10+U10+V10+W10</f>
        <v>0</v>
      </c>
      <c r="Y10" s="52"/>
      <c r="Z10" s="153"/>
      <c r="AA10" s="154"/>
      <c r="AB10" s="52"/>
      <c r="AC10" s="52"/>
      <c r="AD10" s="52"/>
      <c r="AE10" s="53"/>
      <c r="AF10" s="153"/>
      <c r="AG10" s="155"/>
      <c r="AI10" s="159"/>
      <c r="AJ10" s="159"/>
      <c r="AK10" s="159"/>
      <c r="AL10" s="155"/>
      <c r="AM10" s="155"/>
      <c r="AN10" s="159"/>
      <c r="AO10" s="155"/>
      <c r="AQ10" s="159"/>
      <c r="AR10" s="159"/>
      <c r="AS10" s="159"/>
      <c r="AT10" s="155"/>
      <c r="AU10" s="155"/>
      <c r="AV10" s="159"/>
      <c r="AW10" s="155"/>
      <c r="AY10" s="159"/>
      <c r="AZ10" s="159"/>
      <c r="BA10" s="159"/>
      <c r="BB10" s="155"/>
      <c r="BC10" s="155"/>
      <c r="BD10" s="159"/>
      <c r="BE10" s="155"/>
      <c r="BG10" s="159"/>
      <c r="BH10" s="159"/>
      <c r="BI10" s="159"/>
      <c r="BJ10" s="155"/>
      <c r="BK10" s="155"/>
      <c r="BL10" s="159"/>
      <c r="BM10" s="155"/>
      <c r="BO10" s="159"/>
      <c r="BP10" s="159"/>
      <c r="BQ10" s="168"/>
      <c r="BR10" s="159"/>
      <c r="BS10" s="159"/>
      <c r="BT10" s="159"/>
      <c r="BU10" s="159"/>
      <c r="BV10" s="159"/>
      <c r="BW10" s="159"/>
      <c r="BX10" s="159"/>
      <c r="BY10" s="168"/>
      <c r="BZ10" s="155"/>
      <c r="CB10" s="159"/>
      <c r="CC10" s="159"/>
      <c r="CD10" s="168"/>
      <c r="CE10" s="159"/>
      <c r="CF10" s="159"/>
      <c r="CG10" s="159"/>
      <c r="CH10" s="159"/>
      <c r="CI10" s="159"/>
      <c r="CJ10" s="159"/>
      <c r="CK10" s="159"/>
      <c r="CL10" s="168"/>
      <c r="CM10" s="155"/>
    </row>
    <row r="11" spans="1:91" s="50" customFormat="1" ht="12.75">
      <c r="A11" s="199" t="s">
        <v>74</v>
      </c>
      <c r="B11" s="158" t="s">
        <v>84</v>
      </c>
      <c r="C11" s="149" t="s">
        <v>219</v>
      </c>
      <c r="D11" s="208" t="s">
        <v>31</v>
      </c>
      <c r="E11" s="206" t="s">
        <v>50</v>
      </c>
      <c r="F11" s="148"/>
      <c r="G11" s="239">
        <v>1</v>
      </c>
      <c r="H11" s="25">
        <v>6739</v>
      </c>
      <c r="I11" s="149">
        <v>0.1</v>
      </c>
      <c r="J11" s="149">
        <v>0.1</v>
      </c>
      <c r="K11" s="149">
        <v>0.02</v>
      </c>
      <c r="L11" s="149">
        <v>0.4</v>
      </c>
      <c r="M11" s="150">
        <f>H11*(1+I11+J11+K11+L11)</f>
        <v>10917.18</v>
      </c>
      <c r="N11" s="243">
        <f>ROUND(M11,0)</f>
        <v>10917</v>
      </c>
      <c r="O11" s="149"/>
      <c r="P11" s="245">
        <f>N11*O11</f>
        <v>0</v>
      </c>
      <c r="Q11" s="153">
        <f>ROUND(P11*G11,2)</f>
        <v>0</v>
      </c>
      <c r="R11" s="65">
        <f>SUM(R9:R9)</f>
        <v>0</v>
      </c>
      <c r="S11" s="65">
        <f>SUM(S9:S9)</f>
        <v>0</v>
      </c>
      <c r="T11" s="65">
        <f>SUM(T9:T9)</f>
        <v>0</v>
      </c>
      <c r="U11" s="153">
        <f>ROUND(Q11*20/100,2)</f>
        <v>0</v>
      </c>
      <c r="V11" s="153"/>
      <c r="W11" s="153"/>
      <c r="X11" s="153">
        <f>Q11+S11+U11+V11+W11</f>
        <v>0</v>
      </c>
      <c r="Y11" s="52"/>
      <c r="Z11" s="153"/>
      <c r="AA11" s="154"/>
      <c r="AB11" s="52"/>
      <c r="AC11" s="52"/>
      <c r="AD11" s="52"/>
      <c r="AE11" s="53"/>
      <c r="AF11" s="153"/>
      <c r="AG11" s="155"/>
      <c r="AI11" s="159"/>
      <c r="AJ11" s="159"/>
      <c r="AK11" s="159"/>
      <c r="AL11" s="155"/>
      <c r="AM11" s="155"/>
      <c r="AN11" s="159"/>
      <c r="AO11" s="155"/>
      <c r="AQ11" s="159"/>
      <c r="AR11" s="159"/>
      <c r="AS11" s="159"/>
      <c r="AT11" s="155"/>
      <c r="AU11" s="155"/>
      <c r="AV11" s="159"/>
      <c r="AW11" s="155"/>
      <c r="AY11" s="159"/>
      <c r="AZ11" s="159"/>
      <c r="BA11" s="159"/>
      <c r="BB11" s="155"/>
      <c r="BC11" s="155"/>
      <c r="BD11" s="159"/>
      <c r="BE11" s="155"/>
      <c r="BG11" s="159"/>
      <c r="BH11" s="159"/>
      <c r="BI11" s="159"/>
      <c r="BJ11" s="155"/>
      <c r="BK11" s="155"/>
      <c r="BL11" s="159"/>
      <c r="BM11" s="155"/>
      <c r="BO11" s="159"/>
      <c r="BP11" s="159"/>
      <c r="BQ11" s="168"/>
      <c r="BR11" s="159"/>
      <c r="BS11" s="159"/>
      <c r="BT11" s="159"/>
      <c r="BU11" s="159"/>
      <c r="BV11" s="159"/>
      <c r="BW11" s="159"/>
      <c r="BX11" s="159"/>
      <c r="BY11" s="168"/>
      <c r="BZ11" s="155"/>
      <c r="CB11" s="159"/>
      <c r="CC11" s="159"/>
      <c r="CD11" s="168"/>
      <c r="CE11" s="159"/>
      <c r="CF11" s="159"/>
      <c r="CG11" s="159"/>
      <c r="CH11" s="159"/>
      <c r="CI11" s="159"/>
      <c r="CJ11" s="159"/>
      <c r="CK11" s="159"/>
      <c r="CL11" s="168"/>
      <c r="CM11" s="155"/>
    </row>
    <row r="12" spans="1:91" ht="12.75">
      <c r="A12" s="285" t="s">
        <v>32</v>
      </c>
      <c r="B12" s="286"/>
      <c r="C12" s="287"/>
      <c r="D12" s="279"/>
      <c r="E12" s="288"/>
      <c r="F12" s="280"/>
      <c r="G12" s="280">
        <f>SUM(G10:G11)</f>
        <v>1.5</v>
      </c>
      <c r="H12" s="282"/>
      <c r="I12" s="278"/>
      <c r="J12" s="278"/>
      <c r="K12" s="278"/>
      <c r="L12" s="278"/>
      <c r="M12" s="283"/>
      <c r="N12" s="283"/>
      <c r="O12" s="278"/>
      <c r="P12" s="278"/>
      <c r="Q12" s="289">
        <f>SUM(Q10:Q11)</f>
        <v>0</v>
      </c>
      <c r="R12" s="290"/>
      <c r="S12" s="290"/>
      <c r="T12" s="290"/>
      <c r="U12" s="289">
        <f>SUM(U10:U11)</f>
        <v>0</v>
      </c>
      <c r="V12" s="289"/>
      <c r="W12" s="289"/>
      <c r="X12" s="289">
        <f>Q12+S12+U12+V12+W12</f>
        <v>0</v>
      </c>
      <c r="Y12" s="52"/>
      <c r="Z12" s="153"/>
      <c r="AA12" s="154"/>
      <c r="AB12" s="52"/>
      <c r="AC12" s="52"/>
      <c r="AD12" s="52"/>
      <c r="AE12" s="53"/>
      <c r="AF12" s="153"/>
      <c r="AG12" s="28"/>
      <c r="AI12" s="28"/>
      <c r="AJ12" s="28"/>
      <c r="AK12" s="28"/>
      <c r="AL12" s="115"/>
      <c r="AM12" s="115"/>
      <c r="AN12" s="28"/>
      <c r="AO12" s="28"/>
      <c r="AQ12" s="28"/>
      <c r="AR12" s="28"/>
      <c r="AS12" s="28"/>
      <c r="AT12" s="115"/>
      <c r="AU12" s="115"/>
      <c r="AV12" s="28"/>
      <c r="AW12" s="28"/>
      <c r="AY12" s="28"/>
      <c r="AZ12" s="28"/>
      <c r="BA12" s="28"/>
      <c r="BB12" s="115"/>
      <c r="BC12" s="115"/>
      <c r="BD12" s="28"/>
      <c r="BE12" s="28"/>
      <c r="BG12" s="28"/>
      <c r="BH12" s="28"/>
      <c r="BI12" s="28"/>
      <c r="BJ12" s="115"/>
      <c r="BK12" s="115"/>
      <c r="BL12" s="28"/>
      <c r="BM12" s="28"/>
      <c r="BO12" s="28"/>
      <c r="BP12" s="28"/>
      <c r="BQ12" s="27"/>
      <c r="BR12" s="28"/>
      <c r="BS12" s="28"/>
      <c r="BT12" s="28"/>
      <c r="BU12" s="28"/>
      <c r="BV12" s="28"/>
      <c r="BW12" s="28"/>
      <c r="BX12" s="28"/>
      <c r="BY12" s="27"/>
      <c r="BZ12" s="115"/>
      <c r="CB12" s="28"/>
      <c r="CC12" s="28"/>
      <c r="CD12" s="27"/>
      <c r="CE12" s="28"/>
      <c r="CF12" s="28"/>
      <c r="CG12" s="28"/>
      <c r="CH12" s="28"/>
      <c r="CI12" s="28"/>
      <c r="CJ12" s="28"/>
      <c r="CK12" s="28"/>
      <c r="CL12" s="27"/>
      <c r="CM12" s="115"/>
    </row>
    <row r="13" spans="1:91" s="50" customFormat="1" ht="22.5" customHeight="1">
      <c r="A13" s="199"/>
      <c r="B13" s="199" t="s">
        <v>84</v>
      </c>
      <c r="C13" s="148" t="s">
        <v>251</v>
      </c>
      <c r="D13" s="209" t="s">
        <v>33</v>
      </c>
      <c r="E13" s="206" t="s">
        <v>50</v>
      </c>
      <c r="F13" s="148"/>
      <c r="G13" s="239">
        <v>1</v>
      </c>
      <c r="H13" s="25">
        <v>6739</v>
      </c>
      <c r="I13" s="149">
        <v>0.1</v>
      </c>
      <c r="J13" s="149">
        <v>0.2</v>
      </c>
      <c r="K13" s="149">
        <v>0.02</v>
      </c>
      <c r="L13" s="149"/>
      <c r="M13" s="150">
        <f>H13*(1+I13+J13+K13+L13)</f>
        <v>8895.48</v>
      </c>
      <c r="N13" s="243">
        <f>ROUND(M13,0)</f>
        <v>8895</v>
      </c>
      <c r="O13" s="149"/>
      <c r="P13" s="245">
        <f>N13*O13</f>
        <v>0</v>
      </c>
      <c r="Q13" s="153">
        <f>ROUND(P13*G13,2)</f>
        <v>0</v>
      </c>
      <c r="R13" s="65"/>
      <c r="S13" s="65"/>
      <c r="T13" s="65"/>
      <c r="U13" s="153">
        <f>ROUND(Q13*20/100,2)</f>
        <v>0</v>
      </c>
      <c r="V13" s="153"/>
      <c r="W13" s="153"/>
      <c r="X13" s="153">
        <f>Q13+S13+U13+V13+W13</f>
        <v>0</v>
      </c>
      <c r="Y13" s="52"/>
      <c r="Z13" s="153"/>
      <c r="AA13" s="154"/>
      <c r="AB13" s="52"/>
      <c r="AC13" s="52"/>
      <c r="AD13" s="52"/>
      <c r="AE13" s="65"/>
      <c r="AF13" s="153"/>
      <c r="AG13" s="159"/>
      <c r="AI13" s="159"/>
      <c r="AJ13" s="159"/>
      <c r="AK13" s="159"/>
      <c r="AL13" s="155"/>
      <c r="AM13" s="155"/>
      <c r="AN13" s="159"/>
      <c r="AO13" s="159"/>
      <c r="AQ13" s="159"/>
      <c r="AR13" s="159"/>
      <c r="AS13" s="159"/>
      <c r="AT13" s="155"/>
      <c r="AU13" s="155"/>
      <c r="AV13" s="159"/>
      <c r="AW13" s="159"/>
      <c r="AY13" s="159"/>
      <c r="AZ13" s="159"/>
      <c r="BA13" s="159"/>
      <c r="BB13" s="155"/>
      <c r="BC13" s="155"/>
      <c r="BD13" s="159"/>
      <c r="BE13" s="159"/>
      <c r="BG13" s="159"/>
      <c r="BH13" s="159"/>
      <c r="BI13" s="159"/>
      <c r="BJ13" s="155"/>
      <c r="BK13" s="155"/>
      <c r="BL13" s="159"/>
      <c r="BM13" s="159"/>
      <c r="BO13" s="159"/>
      <c r="BP13" s="159"/>
      <c r="BQ13" s="168"/>
      <c r="BR13" s="159"/>
      <c r="BS13" s="159"/>
      <c r="BT13" s="159"/>
      <c r="BU13" s="159"/>
      <c r="BV13" s="159"/>
      <c r="BW13" s="159"/>
      <c r="BX13" s="159"/>
      <c r="BY13" s="168"/>
      <c r="BZ13" s="155"/>
      <c r="CB13" s="159"/>
      <c r="CC13" s="159"/>
      <c r="CD13" s="168"/>
      <c r="CE13" s="159"/>
      <c r="CF13" s="159"/>
      <c r="CG13" s="159"/>
      <c r="CH13" s="159"/>
      <c r="CI13" s="159"/>
      <c r="CJ13" s="159"/>
      <c r="CK13" s="159"/>
      <c r="CL13" s="168"/>
      <c r="CM13" s="155"/>
    </row>
    <row r="14" spans="1:91" ht="16.5" customHeight="1">
      <c r="A14" s="285" t="s">
        <v>34</v>
      </c>
      <c r="B14" s="286"/>
      <c r="C14" s="287"/>
      <c r="D14" s="279"/>
      <c r="E14" s="288"/>
      <c r="F14" s="280"/>
      <c r="G14" s="291">
        <f>SUM(G13:G13)</f>
        <v>1</v>
      </c>
      <c r="H14" s="282"/>
      <c r="I14" s="278"/>
      <c r="J14" s="278"/>
      <c r="K14" s="278"/>
      <c r="L14" s="278"/>
      <c r="M14" s="283"/>
      <c r="N14" s="283"/>
      <c r="O14" s="278"/>
      <c r="P14" s="278"/>
      <c r="Q14" s="292">
        <f aca="true" t="shared" si="1" ref="Q14:V14">SUM(Q13:Q13)</f>
        <v>0</v>
      </c>
      <c r="R14" s="292">
        <f t="shared" si="1"/>
        <v>0</v>
      </c>
      <c r="S14" s="292">
        <f t="shared" si="1"/>
        <v>0</v>
      </c>
      <c r="T14" s="292">
        <f t="shared" si="1"/>
        <v>0</v>
      </c>
      <c r="U14" s="292">
        <f t="shared" si="1"/>
        <v>0</v>
      </c>
      <c r="V14" s="292">
        <f t="shared" si="1"/>
        <v>0</v>
      </c>
      <c r="W14" s="289"/>
      <c r="X14" s="292">
        <f>SUM(X13:X13)</f>
        <v>0</v>
      </c>
      <c r="Y14" s="292">
        <f aca="true" t="shared" si="2" ref="Y14:AF14">SUM(Y13:Y13)</f>
        <v>0</v>
      </c>
      <c r="Z14" s="292">
        <f t="shared" si="2"/>
        <v>0</v>
      </c>
      <c r="AA14" s="292">
        <f t="shared" si="2"/>
        <v>0</v>
      </c>
      <c r="AB14" s="292">
        <f t="shared" si="2"/>
        <v>0</v>
      </c>
      <c r="AC14" s="292">
        <f t="shared" si="2"/>
        <v>0</v>
      </c>
      <c r="AD14" s="292">
        <f t="shared" si="2"/>
        <v>0</v>
      </c>
      <c r="AE14" s="292">
        <f t="shared" si="2"/>
        <v>0</v>
      </c>
      <c r="AF14" s="292">
        <f t="shared" si="2"/>
        <v>0</v>
      </c>
      <c r="AG14" s="160"/>
      <c r="AI14" s="27"/>
      <c r="AJ14" s="27"/>
      <c r="AK14" s="27"/>
      <c r="AL14" s="27"/>
      <c r="AM14" s="160"/>
      <c r="AN14" s="27"/>
      <c r="AO14" s="160"/>
      <c r="AQ14" s="27"/>
      <c r="AR14" s="27"/>
      <c r="AS14" s="27"/>
      <c r="AT14" s="27"/>
      <c r="AU14" s="160"/>
      <c r="AV14" s="27"/>
      <c r="AW14" s="160"/>
      <c r="AY14" s="27"/>
      <c r="AZ14" s="27"/>
      <c r="BA14" s="27"/>
      <c r="BB14" s="27"/>
      <c r="BC14" s="160"/>
      <c r="BD14" s="27"/>
      <c r="BE14" s="160"/>
      <c r="BG14" s="27"/>
      <c r="BH14" s="27"/>
      <c r="BI14" s="27"/>
      <c r="BJ14" s="27"/>
      <c r="BK14" s="160"/>
      <c r="BL14" s="27"/>
      <c r="BM14" s="160"/>
      <c r="BO14" s="28"/>
      <c r="BP14" s="28"/>
      <c r="BQ14" s="27"/>
      <c r="BR14" s="28"/>
      <c r="BS14" s="28"/>
      <c r="BT14" s="28"/>
      <c r="BU14" s="28"/>
      <c r="BV14" s="28"/>
      <c r="BW14" s="28"/>
      <c r="BX14" s="28"/>
      <c r="BY14" s="27"/>
      <c r="BZ14" s="115"/>
      <c r="CB14" s="28"/>
      <c r="CC14" s="28"/>
      <c r="CD14" s="27"/>
      <c r="CE14" s="28"/>
      <c r="CF14" s="28"/>
      <c r="CG14" s="28"/>
      <c r="CH14" s="28"/>
      <c r="CI14" s="28"/>
      <c r="CJ14" s="28"/>
      <c r="CK14" s="28"/>
      <c r="CL14" s="27"/>
      <c r="CM14" s="115"/>
    </row>
    <row r="15" spans="1:91" s="50" customFormat="1" ht="16.5" customHeight="1">
      <c r="A15" s="234"/>
      <c r="B15" s="158" t="s">
        <v>84</v>
      </c>
      <c r="C15" s="191" t="s">
        <v>255</v>
      </c>
      <c r="D15" s="208" t="s">
        <v>57</v>
      </c>
      <c r="E15" s="206" t="s">
        <v>230</v>
      </c>
      <c r="F15" s="148"/>
      <c r="G15" s="161">
        <f aca="true" t="shared" si="3" ref="G15:G24">F15/18</f>
        <v>0</v>
      </c>
      <c r="H15" s="25">
        <v>6739</v>
      </c>
      <c r="I15" s="149">
        <v>0.1</v>
      </c>
      <c r="J15" s="149">
        <v>0.1</v>
      </c>
      <c r="K15" s="149">
        <v>0.07</v>
      </c>
      <c r="L15" s="149">
        <v>0</v>
      </c>
      <c r="M15" s="150">
        <f aca="true" t="shared" si="4" ref="M15:M24">H15*(1+I15+J15+K15+L15)</f>
        <v>8558.530000000002</v>
      </c>
      <c r="N15" s="243">
        <f aca="true" t="shared" si="5" ref="N15:N24">ROUND(M15,0)</f>
        <v>8559</v>
      </c>
      <c r="O15" s="149"/>
      <c r="P15" s="246">
        <f aca="true" t="shared" si="6" ref="P15:P24">ROUND(N15*O15,2)</f>
        <v>0</v>
      </c>
      <c r="Q15" s="153">
        <f aca="true" t="shared" si="7" ref="Q15:Q24">AF15</f>
        <v>0</v>
      </c>
      <c r="R15" s="79"/>
      <c r="S15" s="52"/>
      <c r="T15" s="52"/>
      <c r="U15" s="153">
        <f aca="true" t="shared" si="8" ref="U15:U24">ROUND(Q15*20/100,2)</f>
        <v>0</v>
      </c>
      <c r="V15" s="153"/>
      <c r="W15" s="153"/>
      <c r="X15" s="153">
        <f aca="true" t="shared" si="9" ref="X15:X24">Q15+S15+U15+V15+W15</f>
        <v>0</v>
      </c>
      <c r="Y15" s="162"/>
      <c r="Z15" s="153"/>
      <c r="AA15" s="154">
        <f aca="true" t="shared" si="10" ref="AA15:AA24">F15</f>
        <v>0</v>
      </c>
      <c r="AB15" s="153">
        <f aca="true" t="shared" si="11" ref="AB15:AB24">ROUND(P15/18*AA15,2)</f>
        <v>0</v>
      </c>
      <c r="AC15" s="53"/>
      <c r="AD15" s="52"/>
      <c r="AE15" s="163">
        <f aca="true" t="shared" si="12" ref="AE15:AE24">Y15+AA15</f>
        <v>0</v>
      </c>
      <c r="AF15" s="153">
        <f aca="true" t="shared" si="13" ref="AF15:AF24">Z15+AB15+AD15</f>
        <v>0</v>
      </c>
      <c r="AG15" s="210"/>
      <c r="AI15" s="168"/>
      <c r="AJ15" s="168"/>
      <c r="AK15" s="168"/>
      <c r="AL15" s="168"/>
      <c r="AM15" s="210"/>
      <c r="AN15" s="168"/>
      <c r="AO15" s="210"/>
      <c r="AQ15" s="168"/>
      <c r="AR15" s="168"/>
      <c r="AS15" s="168"/>
      <c r="AT15" s="168"/>
      <c r="AU15" s="210"/>
      <c r="AV15" s="168"/>
      <c r="AW15" s="210"/>
      <c r="AY15" s="168"/>
      <c r="AZ15" s="168"/>
      <c r="BA15" s="168"/>
      <c r="BB15" s="168"/>
      <c r="BC15" s="210"/>
      <c r="BD15" s="168"/>
      <c r="BE15" s="210"/>
      <c r="BG15" s="168"/>
      <c r="BH15" s="168"/>
      <c r="BI15" s="168"/>
      <c r="BJ15" s="168"/>
      <c r="BK15" s="210"/>
      <c r="BL15" s="168"/>
      <c r="BM15" s="210"/>
      <c r="BO15" s="159"/>
      <c r="BP15" s="159"/>
      <c r="BQ15" s="168"/>
      <c r="BR15" s="159"/>
      <c r="BS15" s="159"/>
      <c r="BT15" s="159"/>
      <c r="BU15" s="159"/>
      <c r="BV15" s="159"/>
      <c r="BW15" s="159"/>
      <c r="BX15" s="159"/>
      <c r="BY15" s="168"/>
      <c r="BZ15" s="155"/>
      <c r="CB15" s="159"/>
      <c r="CC15" s="159"/>
      <c r="CD15" s="168"/>
      <c r="CE15" s="159"/>
      <c r="CF15" s="159"/>
      <c r="CG15" s="159"/>
      <c r="CH15" s="159"/>
      <c r="CI15" s="159"/>
      <c r="CJ15" s="159"/>
      <c r="CK15" s="159"/>
      <c r="CL15" s="168"/>
      <c r="CM15" s="155"/>
    </row>
    <row r="16" spans="1:91" s="50" customFormat="1" ht="16.5" customHeight="1">
      <c r="A16" s="199"/>
      <c r="B16" s="157" t="s">
        <v>84</v>
      </c>
      <c r="C16" s="191" t="s">
        <v>235</v>
      </c>
      <c r="D16" s="208" t="s">
        <v>57</v>
      </c>
      <c r="E16" s="206" t="s">
        <v>230</v>
      </c>
      <c r="F16" s="148"/>
      <c r="G16" s="161">
        <f t="shared" si="3"/>
        <v>0</v>
      </c>
      <c r="H16" s="25">
        <v>6739</v>
      </c>
      <c r="I16" s="149">
        <v>0.1</v>
      </c>
      <c r="J16" s="149">
        <v>0.3</v>
      </c>
      <c r="K16" s="149">
        <v>0.07</v>
      </c>
      <c r="L16" s="149">
        <v>0</v>
      </c>
      <c r="M16" s="150">
        <f t="shared" si="4"/>
        <v>9906.330000000002</v>
      </c>
      <c r="N16" s="243">
        <f t="shared" si="5"/>
        <v>9906</v>
      </c>
      <c r="O16" s="149"/>
      <c r="P16" s="245">
        <f t="shared" si="6"/>
        <v>0</v>
      </c>
      <c r="Q16" s="153">
        <f t="shared" si="7"/>
        <v>0</v>
      </c>
      <c r="R16" s="79"/>
      <c r="S16" s="52"/>
      <c r="T16" s="52"/>
      <c r="U16" s="153">
        <f t="shared" si="8"/>
        <v>0</v>
      </c>
      <c r="V16" s="153">
        <f>ROUND(Q16*10/100,2)</f>
        <v>0</v>
      </c>
      <c r="W16" s="153"/>
      <c r="X16" s="153">
        <f t="shared" si="9"/>
        <v>0</v>
      </c>
      <c r="Y16" s="162"/>
      <c r="Z16" s="153"/>
      <c r="AA16" s="154">
        <f t="shared" si="10"/>
        <v>0</v>
      </c>
      <c r="AB16" s="153">
        <f t="shared" si="11"/>
        <v>0</v>
      </c>
      <c r="AC16" s="53"/>
      <c r="AD16" s="52"/>
      <c r="AE16" s="163">
        <f t="shared" si="12"/>
        <v>0</v>
      </c>
      <c r="AF16" s="153">
        <f t="shared" si="13"/>
        <v>0</v>
      </c>
      <c r="AG16" s="155"/>
      <c r="AI16" s="159"/>
      <c r="AJ16" s="159"/>
      <c r="AK16" s="159"/>
      <c r="AL16" s="155"/>
      <c r="AM16" s="155"/>
      <c r="AN16" s="155"/>
      <c r="AO16" s="155"/>
      <c r="AQ16" s="159"/>
      <c r="AR16" s="159"/>
      <c r="AS16" s="159"/>
      <c r="AT16" s="155"/>
      <c r="AU16" s="155"/>
      <c r="AV16" s="155"/>
      <c r="AW16" s="155"/>
      <c r="AY16" s="159"/>
      <c r="AZ16" s="159"/>
      <c r="BA16" s="159"/>
      <c r="BB16" s="155"/>
      <c r="BC16" s="155"/>
      <c r="BD16" s="155"/>
      <c r="BE16" s="155"/>
      <c r="BG16" s="159"/>
      <c r="BH16" s="159"/>
      <c r="BI16" s="159"/>
      <c r="BJ16" s="155"/>
      <c r="BK16" s="155"/>
      <c r="BL16" s="155"/>
      <c r="BM16" s="155"/>
      <c r="BO16" s="159"/>
      <c r="BP16" s="159"/>
      <c r="BQ16" s="168"/>
      <c r="BR16" s="159"/>
      <c r="BS16" s="159"/>
      <c r="BT16" s="159"/>
      <c r="BU16" s="159"/>
      <c r="BV16" s="159"/>
      <c r="BW16" s="159"/>
      <c r="BX16" s="159"/>
      <c r="BY16" s="168"/>
      <c r="BZ16" s="155"/>
      <c r="CB16" s="159"/>
      <c r="CC16" s="159"/>
      <c r="CD16" s="168"/>
      <c r="CE16" s="159"/>
      <c r="CF16" s="159"/>
      <c r="CG16" s="159"/>
      <c r="CH16" s="159"/>
      <c r="CI16" s="159"/>
      <c r="CJ16" s="159"/>
      <c r="CK16" s="159"/>
      <c r="CL16" s="168"/>
      <c r="CM16" s="155"/>
    </row>
    <row r="17" spans="1:91" s="50" customFormat="1" ht="16.5" customHeight="1">
      <c r="A17" s="199"/>
      <c r="B17" s="157" t="s">
        <v>167</v>
      </c>
      <c r="C17" s="191" t="s">
        <v>271</v>
      </c>
      <c r="D17" s="208" t="s">
        <v>57</v>
      </c>
      <c r="E17" s="206" t="s">
        <v>230</v>
      </c>
      <c r="F17" s="148"/>
      <c r="G17" s="161">
        <f t="shared" si="3"/>
        <v>0</v>
      </c>
      <c r="H17" s="25">
        <v>6739</v>
      </c>
      <c r="I17" s="149">
        <v>0</v>
      </c>
      <c r="J17" s="149">
        <v>0.1</v>
      </c>
      <c r="K17" s="149">
        <v>0.07</v>
      </c>
      <c r="L17" s="149">
        <v>0</v>
      </c>
      <c r="M17" s="150">
        <f t="shared" si="4"/>
        <v>7884.630000000001</v>
      </c>
      <c r="N17" s="243">
        <f t="shared" si="5"/>
        <v>7885</v>
      </c>
      <c r="O17" s="149"/>
      <c r="P17" s="245">
        <f t="shared" si="6"/>
        <v>0</v>
      </c>
      <c r="Q17" s="153">
        <f t="shared" si="7"/>
        <v>0</v>
      </c>
      <c r="R17" s="79"/>
      <c r="S17" s="52"/>
      <c r="T17" s="52"/>
      <c r="U17" s="153">
        <f t="shared" si="8"/>
        <v>0</v>
      </c>
      <c r="V17" s="153"/>
      <c r="W17" s="153"/>
      <c r="X17" s="153">
        <f t="shared" si="9"/>
        <v>0</v>
      </c>
      <c r="Y17" s="162"/>
      <c r="Z17" s="153"/>
      <c r="AA17" s="154">
        <f t="shared" si="10"/>
        <v>0</v>
      </c>
      <c r="AB17" s="153">
        <f t="shared" si="11"/>
        <v>0</v>
      </c>
      <c r="AC17" s="53"/>
      <c r="AD17" s="52"/>
      <c r="AE17" s="163">
        <f t="shared" si="12"/>
        <v>0</v>
      </c>
      <c r="AF17" s="153">
        <f t="shared" si="13"/>
        <v>0</v>
      </c>
      <c r="AG17" s="155"/>
      <c r="AI17" s="159"/>
      <c r="AJ17" s="159"/>
      <c r="AK17" s="159"/>
      <c r="AL17" s="155"/>
      <c r="AM17" s="155"/>
      <c r="AN17" s="155"/>
      <c r="AO17" s="155"/>
      <c r="AQ17" s="159"/>
      <c r="AR17" s="159"/>
      <c r="AS17" s="159"/>
      <c r="AT17" s="155"/>
      <c r="AU17" s="155"/>
      <c r="AV17" s="155"/>
      <c r="AW17" s="155"/>
      <c r="AY17" s="159"/>
      <c r="AZ17" s="159"/>
      <c r="BA17" s="159"/>
      <c r="BB17" s="155"/>
      <c r="BC17" s="155"/>
      <c r="BD17" s="155"/>
      <c r="BE17" s="155"/>
      <c r="BG17" s="159"/>
      <c r="BH17" s="159"/>
      <c r="BI17" s="159"/>
      <c r="BJ17" s="155"/>
      <c r="BK17" s="155"/>
      <c r="BL17" s="155"/>
      <c r="BM17" s="155"/>
      <c r="BO17" s="159"/>
      <c r="BP17" s="159"/>
      <c r="BQ17" s="168"/>
      <c r="BR17" s="159"/>
      <c r="BS17" s="159"/>
      <c r="BT17" s="159"/>
      <c r="BU17" s="159"/>
      <c r="BV17" s="159"/>
      <c r="BW17" s="159"/>
      <c r="BX17" s="159"/>
      <c r="BY17" s="168"/>
      <c r="BZ17" s="155"/>
      <c r="CB17" s="159"/>
      <c r="CC17" s="159"/>
      <c r="CD17" s="168"/>
      <c r="CE17" s="159"/>
      <c r="CF17" s="159"/>
      <c r="CG17" s="159"/>
      <c r="CH17" s="159"/>
      <c r="CI17" s="159"/>
      <c r="CJ17" s="159"/>
      <c r="CK17" s="159"/>
      <c r="CL17" s="168"/>
      <c r="CM17" s="155"/>
    </row>
    <row r="18" spans="1:91" s="50" customFormat="1" ht="16.5" customHeight="1">
      <c r="A18" s="199"/>
      <c r="B18" s="157" t="s">
        <v>167</v>
      </c>
      <c r="C18" s="191" t="s">
        <v>265</v>
      </c>
      <c r="D18" s="208" t="s">
        <v>57</v>
      </c>
      <c r="E18" s="206" t="s">
        <v>230</v>
      </c>
      <c r="F18" s="148"/>
      <c r="G18" s="161">
        <f>F18/18</f>
        <v>0</v>
      </c>
      <c r="H18" s="25">
        <v>6739</v>
      </c>
      <c r="I18" s="149">
        <v>0.1</v>
      </c>
      <c r="J18" s="149">
        <v>0.2</v>
      </c>
      <c r="K18" s="149">
        <v>0.07</v>
      </c>
      <c r="L18" s="149">
        <v>0</v>
      </c>
      <c r="M18" s="150">
        <f>H18*(1+I18+J18+K18+L18)</f>
        <v>9232.43</v>
      </c>
      <c r="N18" s="243">
        <f>ROUND(M18,0)</f>
        <v>9232</v>
      </c>
      <c r="O18" s="149"/>
      <c r="P18" s="245">
        <f>ROUND(N18*O18,2)</f>
        <v>0</v>
      </c>
      <c r="Q18" s="153">
        <f t="shared" si="7"/>
        <v>0</v>
      </c>
      <c r="R18" s="79"/>
      <c r="S18" s="52"/>
      <c r="T18" s="52"/>
      <c r="U18" s="153">
        <f>ROUND(Q18*20/100,2)</f>
        <v>0</v>
      </c>
      <c r="V18" s="153"/>
      <c r="W18" s="153"/>
      <c r="X18" s="153">
        <f>Q18+S18+U18+V18+W18</f>
        <v>0</v>
      </c>
      <c r="Y18" s="162"/>
      <c r="Z18" s="153"/>
      <c r="AA18" s="154">
        <f t="shared" si="10"/>
        <v>0</v>
      </c>
      <c r="AB18" s="153">
        <f t="shared" si="11"/>
        <v>0</v>
      </c>
      <c r="AC18" s="53"/>
      <c r="AD18" s="52"/>
      <c r="AE18" s="163">
        <f t="shared" si="12"/>
        <v>0</v>
      </c>
      <c r="AF18" s="153">
        <f>Z18+AB18+AD18</f>
        <v>0</v>
      </c>
      <c r="AG18" s="155"/>
      <c r="AI18" s="159"/>
      <c r="AJ18" s="159"/>
      <c r="AK18" s="159"/>
      <c r="AL18" s="155"/>
      <c r="AM18" s="155"/>
      <c r="AN18" s="155"/>
      <c r="AO18" s="155"/>
      <c r="AQ18" s="159"/>
      <c r="AR18" s="159"/>
      <c r="AS18" s="159"/>
      <c r="AT18" s="155"/>
      <c r="AU18" s="155"/>
      <c r="AV18" s="155"/>
      <c r="AW18" s="155"/>
      <c r="AY18" s="159"/>
      <c r="AZ18" s="159"/>
      <c r="BA18" s="159"/>
      <c r="BB18" s="155"/>
      <c r="BC18" s="155"/>
      <c r="BD18" s="155"/>
      <c r="BE18" s="155"/>
      <c r="BG18" s="159"/>
      <c r="BH18" s="159"/>
      <c r="BI18" s="159"/>
      <c r="BJ18" s="155"/>
      <c r="BK18" s="155"/>
      <c r="BL18" s="155"/>
      <c r="BM18" s="155"/>
      <c r="BO18" s="159"/>
      <c r="BP18" s="159"/>
      <c r="BQ18" s="168"/>
      <c r="BR18" s="159"/>
      <c r="BS18" s="159"/>
      <c r="BT18" s="159"/>
      <c r="BU18" s="159"/>
      <c r="BV18" s="159"/>
      <c r="BW18" s="159"/>
      <c r="BX18" s="159"/>
      <c r="BY18" s="168"/>
      <c r="BZ18" s="155"/>
      <c r="CB18" s="159"/>
      <c r="CC18" s="159"/>
      <c r="CD18" s="168"/>
      <c r="CE18" s="159"/>
      <c r="CF18" s="159"/>
      <c r="CG18" s="159"/>
      <c r="CH18" s="159"/>
      <c r="CI18" s="159"/>
      <c r="CJ18" s="159"/>
      <c r="CK18" s="159"/>
      <c r="CL18" s="168"/>
      <c r="CM18" s="155"/>
    </row>
    <row r="19" spans="1:91" s="50" customFormat="1" ht="16.5" customHeight="1">
      <c r="A19" s="199"/>
      <c r="B19" s="157" t="s">
        <v>84</v>
      </c>
      <c r="C19" s="191" t="s">
        <v>259</v>
      </c>
      <c r="D19" s="208" t="s">
        <v>57</v>
      </c>
      <c r="E19" s="206" t="s">
        <v>50</v>
      </c>
      <c r="F19" s="148"/>
      <c r="G19" s="161">
        <f>F19/18</f>
        <v>0</v>
      </c>
      <c r="H19" s="25">
        <v>6739</v>
      </c>
      <c r="I19" s="149">
        <v>0.1</v>
      </c>
      <c r="J19" s="149">
        <v>0.3</v>
      </c>
      <c r="K19" s="149">
        <v>0.07</v>
      </c>
      <c r="L19" s="149">
        <v>0.4</v>
      </c>
      <c r="M19" s="150">
        <f>H19*(1+I19+J19+K19+L19)</f>
        <v>12601.93</v>
      </c>
      <c r="N19" s="243">
        <f>ROUND(M19,0)</f>
        <v>12602</v>
      </c>
      <c r="O19" s="149"/>
      <c r="P19" s="245">
        <f>ROUND(N19*O19,2)</f>
        <v>0</v>
      </c>
      <c r="Q19" s="153">
        <f t="shared" si="7"/>
        <v>0</v>
      </c>
      <c r="R19" s="79"/>
      <c r="S19" s="52"/>
      <c r="T19" s="52"/>
      <c r="U19" s="153">
        <f t="shared" si="8"/>
        <v>0</v>
      </c>
      <c r="V19" s="153"/>
      <c r="W19" s="153"/>
      <c r="X19" s="153">
        <f t="shared" si="9"/>
        <v>0</v>
      </c>
      <c r="Y19" s="162"/>
      <c r="Z19" s="153"/>
      <c r="AA19" s="154">
        <f t="shared" si="10"/>
        <v>0</v>
      </c>
      <c r="AB19" s="153">
        <f t="shared" si="11"/>
        <v>0</v>
      </c>
      <c r="AC19" s="53"/>
      <c r="AD19" s="52"/>
      <c r="AE19" s="163">
        <f t="shared" si="12"/>
        <v>0</v>
      </c>
      <c r="AF19" s="153">
        <f t="shared" si="13"/>
        <v>0</v>
      </c>
      <c r="AG19" s="155"/>
      <c r="AI19" s="159"/>
      <c r="AJ19" s="159"/>
      <c r="AK19" s="159"/>
      <c r="AL19" s="155"/>
      <c r="AM19" s="155"/>
      <c r="AN19" s="155"/>
      <c r="AO19" s="155"/>
      <c r="AQ19" s="159"/>
      <c r="AR19" s="159"/>
      <c r="AS19" s="159"/>
      <c r="AT19" s="155"/>
      <c r="AU19" s="155"/>
      <c r="AV19" s="155"/>
      <c r="AW19" s="155"/>
      <c r="AY19" s="159"/>
      <c r="AZ19" s="159"/>
      <c r="BA19" s="159"/>
      <c r="BB19" s="155"/>
      <c r="BC19" s="155"/>
      <c r="BD19" s="155"/>
      <c r="BE19" s="155"/>
      <c r="BG19" s="159"/>
      <c r="BH19" s="159"/>
      <c r="BI19" s="159"/>
      <c r="BJ19" s="155"/>
      <c r="BK19" s="155"/>
      <c r="BL19" s="155"/>
      <c r="BM19" s="155"/>
      <c r="BO19" s="159"/>
      <c r="BP19" s="159"/>
      <c r="BQ19" s="168"/>
      <c r="BR19" s="159"/>
      <c r="BS19" s="159"/>
      <c r="BT19" s="159"/>
      <c r="BU19" s="159"/>
      <c r="BV19" s="159"/>
      <c r="BW19" s="159"/>
      <c r="BX19" s="159"/>
      <c r="BY19" s="168"/>
      <c r="BZ19" s="155"/>
      <c r="CB19" s="159"/>
      <c r="CC19" s="159"/>
      <c r="CD19" s="168"/>
      <c r="CE19" s="159"/>
      <c r="CF19" s="159"/>
      <c r="CG19" s="159"/>
      <c r="CH19" s="159"/>
      <c r="CI19" s="159"/>
      <c r="CJ19" s="159"/>
      <c r="CK19" s="159"/>
      <c r="CL19" s="168"/>
      <c r="CM19" s="155"/>
    </row>
    <row r="20" spans="1:91" s="50" customFormat="1" ht="16.5" customHeight="1">
      <c r="A20" s="199"/>
      <c r="B20" s="157" t="s">
        <v>167</v>
      </c>
      <c r="C20" s="191" t="s">
        <v>254</v>
      </c>
      <c r="D20" s="208" t="s">
        <v>57</v>
      </c>
      <c r="E20" s="206" t="s">
        <v>50</v>
      </c>
      <c r="F20" s="148"/>
      <c r="G20" s="161">
        <f>F20/18</f>
        <v>0</v>
      </c>
      <c r="H20" s="25">
        <v>6739</v>
      </c>
      <c r="I20" s="149">
        <v>0.1</v>
      </c>
      <c r="J20" s="149">
        <v>0.1</v>
      </c>
      <c r="K20" s="149">
        <v>0.07</v>
      </c>
      <c r="L20" s="149">
        <v>0.4</v>
      </c>
      <c r="M20" s="150">
        <f>H20*(1+I20+J20+K20+L20)</f>
        <v>11254.130000000003</v>
      </c>
      <c r="N20" s="243">
        <f>ROUND(M20,0)</f>
        <v>11254</v>
      </c>
      <c r="O20" s="149"/>
      <c r="P20" s="245">
        <f>ROUND(N20*O20,2)</f>
        <v>0</v>
      </c>
      <c r="Q20" s="153">
        <f t="shared" si="7"/>
        <v>0</v>
      </c>
      <c r="R20" s="79"/>
      <c r="S20" s="52"/>
      <c r="T20" s="52"/>
      <c r="U20" s="153">
        <f t="shared" si="8"/>
        <v>0</v>
      </c>
      <c r="V20" s="153"/>
      <c r="W20" s="153"/>
      <c r="X20" s="153">
        <f t="shared" si="9"/>
        <v>0</v>
      </c>
      <c r="Y20" s="162"/>
      <c r="Z20" s="153"/>
      <c r="AA20" s="154">
        <f t="shared" si="10"/>
        <v>0</v>
      </c>
      <c r="AB20" s="153">
        <f t="shared" si="11"/>
        <v>0</v>
      </c>
      <c r="AC20" s="53"/>
      <c r="AD20" s="52"/>
      <c r="AE20" s="163">
        <f t="shared" si="12"/>
        <v>0</v>
      </c>
      <c r="AF20" s="153">
        <f t="shared" si="13"/>
        <v>0</v>
      </c>
      <c r="AG20" s="155"/>
      <c r="AI20" s="159"/>
      <c r="AJ20" s="159"/>
      <c r="AK20" s="159"/>
      <c r="AL20" s="155"/>
      <c r="AM20" s="155"/>
      <c r="AN20" s="155"/>
      <c r="AO20" s="155"/>
      <c r="AQ20" s="159"/>
      <c r="AR20" s="159"/>
      <c r="AS20" s="159"/>
      <c r="AT20" s="155"/>
      <c r="AU20" s="155"/>
      <c r="AV20" s="155"/>
      <c r="AW20" s="155"/>
      <c r="AY20" s="159"/>
      <c r="AZ20" s="159"/>
      <c r="BA20" s="159"/>
      <c r="BB20" s="155"/>
      <c r="BC20" s="155"/>
      <c r="BD20" s="155"/>
      <c r="BE20" s="155"/>
      <c r="BG20" s="159"/>
      <c r="BH20" s="159"/>
      <c r="BI20" s="159"/>
      <c r="BJ20" s="155"/>
      <c r="BK20" s="155"/>
      <c r="BL20" s="155"/>
      <c r="BM20" s="155"/>
      <c r="BO20" s="159"/>
      <c r="BP20" s="159"/>
      <c r="BQ20" s="168"/>
      <c r="BR20" s="159"/>
      <c r="BS20" s="159"/>
      <c r="BT20" s="159"/>
      <c r="BU20" s="159"/>
      <c r="BV20" s="159"/>
      <c r="BW20" s="159"/>
      <c r="BX20" s="159"/>
      <c r="BY20" s="168"/>
      <c r="BZ20" s="155"/>
      <c r="CB20" s="159"/>
      <c r="CC20" s="159"/>
      <c r="CD20" s="168"/>
      <c r="CE20" s="159"/>
      <c r="CF20" s="159"/>
      <c r="CG20" s="159"/>
      <c r="CH20" s="159"/>
      <c r="CI20" s="159"/>
      <c r="CJ20" s="159"/>
      <c r="CK20" s="159"/>
      <c r="CL20" s="168"/>
      <c r="CM20" s="155"/>
    </row>
    <row r="21" spans="1:91" s="50" customFormat="1" ht="16.5" customHeight="1">
      <c r="A21" s="199"/>
      <c r="B21" s="157" t="s">
        <v>84</v>
      </c>
      <c r="C21" s="191" t="s">
        <v>245</v>
      </c>
      <c r="D21" s="208" t="s">
        <v>57</v>
      </c>
      <c r="E21" s="206" t="s">
        <v>50</v>
      </c>
      <c r="F21" s="148"/>
      <c r="G21" s="161">
        <f t="shared" si="3"/>
        <v>0</v>
      </c>
      <c r="H21" s="25">
        <v>6739</v>
      </c>
      <c r="I21" s="149">
        <v>0.1</v>
      </c>
      <c r="J21" s="149">
        <v>0.3</v>
      </c>
      <c r="K21" s="149">
        <v>0.07</v>
      </c>
      <c r="L21" s="149">
        <v>0.4</v>
      </c>
      <c r="M21" s="150">
        <f t="shared" si="4"/>
        <v>12601.93</v>
      </c>
      <c r="N21" s="243">
        <f t="shared" si="5"/>
        <v>12602</v>
      </c>
      <c r="O21" s="149"/>
      <c r="P21" s="245">
        <f t="shared" si="6"/>
        <v>0</v>
      </c>
      <c r="Q21" s="153">
        <f t="shared" si="7"/>
        <v>0</v>
      </c>
      <c r="R21" s="79"/>
      <c r="S21" s="52"/>
      <c r="T21" s="52"/>
      <c r="U21" s="153">
        <f t="shared" si="8"/>
        <v>0</v>
      </c>
      <c r="V21" s="153"/>
      <c r="W21" s="153"/>
      <c r="X21" s="153">
        <f t="shared" si="9"/>
        <v>0</v>
      </c>
      <c r="Y21" s="162"/>
      <c r="Z21" s="153"/>
      <c r="AA21" s="154">
        <f t="shared" si="10"/>
        <v>0</v>
      </c>
      <c r="AB21" s="153">
        <f t="shared" si="11"/>
        <v>0</v>
      </c>
      <c r="AC21" s="53"/>
      <c r="AD21" s="52"/>
      <c r="AE21" s="163">
        <f t="shared" si="12"/>
        <v>0</v>
      </c>
      <c r="AF21" s="153">
        <f t="shared" si="13"/>
        <v>0</v>
      </c>
      <c r="AG21" s="155"/>
      <c r="AI21" s="159"/>
      <c r="AJ21" s="159"/>
      <c r="AK21" s="159"/>
      <c r="AL21" s="155"/>
      <c r="AM21" s="155"/>
      <c r="AN21" s="155"/>
      <c r="AO21" s="155"/>
      <c r="AQ21" s="159"/>
      <c r="AR21" s="159"/>
      <c r="AS21" s="159"/>
      <c r="AT21" s="155"/>
      <c r="AU21" s="155"/>
      <c r="AV21" s="155"/>
      <c r="AW21" s="155"/>
      <c r="AY21" s="159"/>
      <c r="AZ21" s="159"/>
      <c r="BA21" s="159"/>
      <c r="BB21" s="155"/>
      <c r="BC21" s="155"/>
      <c r="BD21" s="155"/>
      <c r="BE21" s="155"/>
      <c r="BG21" s="159"/>
      <c r="BH21" s="159"/>
      <c r="BI21" s="159"/>
      <c r="BJ21" s="155"/>
      <c r="BK21" s="155"/>
      <c r="BL21" s="155"/>
      <c r="BM21" s="155"/>
      <c r="BO21" s="159"/>
      <c r="BP21" s="159"/>
      <c r="BQ21" s="168"/>
      <c r="BR21" s="159"/>
      <c r="BS21" s="159"/>
      <c r="BT21" s="159"/>
      <c r="BU21" s="159"/>
      <c r="BV21" s="159"/>
      <c r="BW21" s="159"/>
      <c r="BX21" s="159"/>
      <c r="BY21" s="168"/>
      <c r="BZ21" s="155"/>
      <c r="CB21" s="159"/>
      <c r="CC21" s="159"/>
      <c r="CD21" s="168"/>
      <c r="CE21" s="159"/>
      <c r="CF21" s="159"/>
      <c r="CG21" s="159"/>
      <c r="CH21" s="159"/>
      <c r="CI21" s="159"/>
      <c r="CJ21" s="159"/>
      <c r="CK21" s="159"/>
      <c r="CL21" s="168"/>
      <c r="CM21" s="155"/>
    </row>
    <row r="22" spans="1:91" s="50" customFormat="1" ht="16.5" customHeight="1">
      <c r="A22" s="199"/>
      <c r="B22" s="157" t="s">
        <v>84</v>
      </c>
      <c r="C22" s="192" t="s">
        <v>298</v>
      </c>
      <c r="D22" s="208" t="s">
        <v>57</v>
      </c>
      <c r="E22" s="206" t="s">
        <v>50</v>
      </c>
      <c r="F22" s="148"/>
      <c r="G22" s="161">
        <f>F22/18</f>
        <v>0</v>
      </c>
      <c r="H22" s="25">
        <v>6739</v>
      </c>
      <c r="I22" s="149">
        <v>0.1</v>
      </c>
      <c r="J22" s="149">
        <v>0.1</v>
      </c>
      <c r="K22" s="149">
        <v>0.07</v>
      </c>
      <c r="L22" s="149">
        <v>0.4</v>
      </c>
      <c r="M22" s="150">
        <f>H22*(1+I22+J22+K22+L22)</f>
        <v>11254.130000000003</v>
      </c>
      <c r="N22" s="243">
        <f>ROUND(M22,0)</f>
        <v>11254</v>
      </c>
      <c r="O22" s="149"/>
      <c r="P22" s="245">
        <f>ROUND(N22*O22,2)</f>
        <v>0</v>
      </c>
      <c r="Q22" s="153">
        <f t="shared" si="7"/>
        <v>0</v>
      </c>
      <c r="R22" s="79"/>
      <c r="S22" s="52"/>
      <c r="T22" s="52"/>
      <c r="U22" s="153">
        <f>ROUND(Q22*20/100,2)</f>
        <v>0</v>
      </c>
      <c r="V22" s="153"/>
      <c r="W22" s="153"/>
      <c r="X22" s="153">
        <f>Q22+S22+U22+V22+W22</f>
        <v>0</v>
      </c>
      <c r="Y22" s="162"/>
      <c r="Z22" s="153"/>
      <c r="AA22" s="154">
        <f t="shared" si="10"/>
        <v>0</v>
      </c>
      <c r="AB22" s="153">
        <f t="shared" si="11"/>
        <v>0</v>
      </c>
      <c r="AC22" s="53"/>
      <c r="AD22" s="52"/>
      <c r="AE22" s="163">
        <f t="shared" si="12"/>
        <v>0</v>
      </c>
      <c r="AF22" s="153">
        <f>Z22+AB22+AD22</f>
        <v>0</v>
      </c>
      <c r="AG22" s="155"/>
      <c r="AI22" s="159"/>
      <c r="AJ22" s="159"/>
      <c r="AK22" s="159"/>
      <c r="AL22" s="155"/>
      <c r="AM22" s="155"/>
      <c r="AN22" s="155"/>
      <c r="AO22" s="155"/>
      <c r="AQ22" s="159"/>
      <c r="AR22" s="159"/>
      <c r="AS22" s="159"/>
      <c r="AT22" s="155"/>
      <c r="AU22" s="155"/>
      <c r="AV22" s="155"/>
      <c r="AW22" s="155"/>
      <c r="AY22" s="159"/>
      <c r="AZ22" s="159"/>
      <c r="BA22" s="159"/>
      <c r="BB22" s="155"/>
      <c r="BC22" s="155"/>
      <c r="BD22" s="155"/>
      <c r="BE22" s="155"/>
      <c r="BG22" s="159"/>
      <c r="BH22" s="159"/>
      <c r="BI22" s="159"/>
      <c r="BJ22" s="155"/>
      <c r="BK22" s="155"/>
      <c r="BL22" s="155"/>
      <c r="BM22" s="155"/>
      <c r="BO22" s="159"/>
      <c r="BP22" s="159"/>
      <c r="BQ22" s="168"/>
      <c r="BR22" s="159"/>
      <c r="BS22" s="159"/>
      <c r="BT22" s="159"/>
      <c r="BU22" s="159"/>
      <c r="BV22" s="159"/>
      <c r="BW22" s="159"/>
      <c r="BX22" s="159"/>
      <c r="BY22" s="168"/>
      <c r="BZ22" s="155"/>
      <c r="CB22" s="159"/>
      <c r="CC22" s="159"/>
      <c r="CD22" s="168"/>
      <c r="CE22" s="159"/>
      <c r="CF22" s="159"/>
      <c r="CG22" s="159"/>
      <c r="CH22" s="159"/>
      <c r="CI22" s="159"/>
      <c r="CJ22" s="159"/>
      <c r="CK22" s="159"/>
      <c r="CL22" s="168"/>
      <c r="CM22" s="155"/>
    </row>
    <row r="23" spans="1:91" s="50" customFormat="1" ht="17.25" customHeight="1">
      <c r="A23" s="199"/>
      <c r="B23" s="157" t="s">
        <v>144</v>
      </c>
      <c r="C23" s="149" t="s">
        <v>252</v>
      </c>
      <c r="D23" s="208" t="s">
        <v>57</v>
      </c>
      <c r="E23" s="206" t="s">
        <v>51</v>
      </c>
      <c r="F23" s="148"/>
      <c r="G23" s="161">
        <f t="shared" si="3"/>
        <v>0</v>
      </c>
      <c r="H23" s="25">
        <v>6739</v>
      </c>
      <c r="I23" s="149">
        <v>0.1</v>
      </c>
      <c r="J23" s="149">
        <v>0.3</v>
      </c>
      <c r="K23" s="149">
        <v>0.07</v>
      </c>
      <c r="L23" s="149">
        <v>0.8</v>
      </c>
      <c r="M23" s="151">
        <f t="shared" si="4"/>
        <v>15297.530000000002</v>
      </c>
      <c r="N23" s="243">
        <f t="shared" si="5"/>
        <v>15298</v>
      </c>
      <c r="O23" s="149"/>
      <c r="P23" s="245">
        <f t="shared" si="6"/>
        <v>0</v>
      </c>
      <c r="Q23" s="153">
        <f t="shared" si="7"/>
        <v>0</v>
      </c>
      <c r="R23" s="79"/>
      <c r="S23" s="52"/>
      <c r="T23" s="52"/>
      <c r="U23" s="153">
        <f t="shared" si="8"/>
        <v>0</v>
      </c>
      <c r="V23" s="153">
        <f>ROUND(Q23*20/100,2)</f>
        <v>0</v>
      </c>
      <c r="W23" s="153"/>
      <c r="X23" s="153">
        <f t="shared" si="9"/>
        <v>0</v>
      </c>
      <c r="Y23" s="162"/>
      <c r="Z23" s="153"/>
      <c r="AA23" s="154">
        <f t="shared" si="10"/>
        <v>0</v>
      </c>
      <c r="AB23" s="153">
        <f t="shared" si="11"/>
        <v>0</v>
      </c>
      <c r="AC23" s="53"/>
      <c r="AD23" s="52"/>
      <c r="AE23" s="163">
        <f t="shared" si="12"/>
        <v>0</v>
      </c>
      <c r="AF23" s="153">
        <f t="shared" si="13"/>
        <v>0</v>
      </c>
      <c r="AG23" s="155"/>
      <c r="AI23" s="159"/>
      <c r="AJ23" s="159"/>
      <c r="AK23" s="159"/>
      <c r="AL23" s="155"/>
      <c r="AM23" s="155"/>
      <c r="AN23" s="155"/>
      <c r="AO23" s="155"/>
      <c r="AQ23" s="159"/>
      <c r="AR23" s="159"/>
      <c r="AS23" s="159"/>
      <c r="AT23" s="155"/>
      <c r="AU23" s="155"/>
      <c r="AV23" s="155"/>
      <c r="AW23" s="155"/>
      <c r="AY23" s="159"/>
      <c r="AZ23" s="159"/>
      <c r="BA23" s="159"/>
      <c r="BB23" s="155"/>
      <c r="BC23" s="155"/>
      <c r="BD23" s="155"/>
      <c r="BE23" s="155"/>
      <c r="BG23" s="159"/>
      <c r="BH23" s="159"/>
      <c r="BI23" s="159"/>
      <c r="BJ23" s="155"/>
      <c r="BK23" s="155"/>
      <c r="BL23" s="155"/>
      <c r="BM23" s="155"/>
      <c r="BO23" s="159"/>
      <c r="BP23" s="159"/>
      <c r="BQ23" s="168"/>
      <c r="BR23" s="159"/>
      <c r="BS23" s="159"/>
      <c r="BT23" s="159"/>
      <c r="BU23" s="159"/>
      <c r="BV23" s="159"/>
      <c r="BW23" s="159"/>
      <c r="BX23" s="159"/>
      <c r="BY23" s="168"/>
      <c r="BZ23" s="155"/>
      <c r="CB23" s="159"/>
      <c r="CC23" s="159"/>
      <c r="CD23" s="168"/>
      <c r="CE23" s="159"/>
      <c r="CF23" s="159"/>
      <c r="CG23" s="159"/>
      <c r="CH23" s="159"/>
      <c r="CI23" s="159"/>
      <c r="CJ23" s="159"/>
      <c r="CK23" s="159"/>
      <c r="CL23" s="168"/>
      <c r="CM23" s="155"/>
    </row>
    <row r="24" spans="1:91" s="50" customFormat="1" ht="18" customHeight="1">
      <c r="A24" s="199"/>
      <c r="B24" s="52" t="s">
        <v>84</v>
      </c>
      <c r="C24" s="149" t="s">
        <v>299</v>
      </c>
      <c r="D24" s="208" t="s">
        <v>57</v>
      </c>
      <c r="E24" s="206" t="s">
        <v>50</v>
      </c>
      <c r="F24" s="148"/>
      <c r="G24" s="161">
        <f t="shared" si="3"/>
        <v>0</v>
      </c>
      <c r="H24" s="25">
        <v>6739</v>
      </c>
      <c r="I24" s="149">
        <v>0.1</v>
      </c>
      <c r="J24" s="149">
        <v>0.2</v>
      </c>
      <c r="K24" s="149">
        <v>0.07</v>
      </c>
      <c r="L24" s="149">
        <v>0.4</v>
      </c>
      <c r="M24" s="151">
        <f t="shared" si="4"/>
        <v>11928.03</v>
      </c>
      <c r="N24" s="243">
        <f t="shared" si="5"/>
        <v>11928</v>
      </c>
      <c r="O24" s="149"/>
      <c r="P24" s="245">
        <f t="shared" si="6"/>
        <v>0</v>
      </c>
      <c r="Q24" s="153">
        <f t="shared" si="7"/>
        <v>0</v>
      </c>
      <c r="R24" s="65">
        <f>SUM(R14:R23)</f>
        <v>0</v>
      </c>
      <c r="S24" s="65">
        <f>SUM(S14:S23)</f>
        <v>0</v>
      </c>
      <c r="T24" s="65">
        <f>SUM(T14:T23)</f>
        <v>0</v>
      </c>
      <c r="U24" s="153">
        <f t="shared" si="8"/>
        <v>0</v>
      </c>
      <c r="V24" s="153"/>
      <c r="W24" s="153"/>
      <c r="X24" s="153">
        <f t="shared" si="9"/>
        <v>0</v>
      </c>
      <c r="Y24" s="162"/>
      <c r="Z24" s="153"/>
      <c r="AA24" s="154">
        <f t="shared" si="10"/>
        <v>0</v>
      </c>
      <c r="AB24" s="153">
        <f t="shared" si="11"/>
        <v>0</v>
      </c>
      <c r="AC24" s="53"/>
      <c r="AD24" s="52"/>
      <c r="AE24" s="163">
        <f t="shared" si="12"/>
        <v>0</v>
      </c>
      <c r="AF24" s="153">
        <f t="shared" si="13"/>
        <v>0</v>
      </c>
      <c r="AG24" s="155"/>
      <c r="AI24" s="159"/>
      <c r="AJ24" s="159"/>
      <c r="AK24" s="159"/>
      <c r="AL24" s="155"/>
      <c r="AM24" s="155"/>
      <c r="AN24" s="155"/>
      <c r="AO24" s="155"/>
      <c r="AQ24" s="159"/>
      <c r="AR24" s="159"/>
      <c r="AS24" s="159"/>
      <c r="AT24" s="155"/>
      <c r="AU24" s="155"/>
      <c r="AV24" s="155"/>
      <c r="AW24" s="155"/>
      <c r="AY24" s="159"/>
      <c r="AZ24" s="159"/>
      <c r="BA24" s="159"/>
      <c r="BB24" s="155"/>
      <c r="BC24" s="155"/>
      <c r="BD24" s="155"/>
      <c r="BE24" s="155"/>
      <c r="BG24" s="159"/>
      <c r="BH24" s="159"/>
      <c r="BI24" s="159"/>
      <c r="BJ24" s="155"/>
      <c r="BK24" s="155"/>
      <c r="BL24" s="155"/>
      <c r="BM24" s="155"/>
      <c r="BO24" s="159"/>
      <c r="BP24" s="159"/>
      <c r="BQ24" s="168"/>
      <c r="BR24" s="159"/>
      <c r="BS24" s="159"/>
      <c r="BT24" s="159"/>
      <c r="BU24" s="159"/>
      <c r="BV24" s="159"/>
      <c r="BW24" s="159"/>
      <c r="BX24" s="159"/>
      <c r="BY24" s="168"/>
      <c r="BZ24" s="155"/>
      <c r="CB24" s="159"/>
      <c r="CC24" s="159"/>
      <c r="CD24" s="168"/>
      <c r="CE24" s="159"/>
      <c r="CF24" s="159"/>
      <c r="CG24" s="159"/>
      <c r="CH24" s="159"/>
      <c r="CI24" s="159"/>
      <c r="CJ24" s="159"/>
      <c r="CK24" s="159"/>
      <c r="CL24" s="168"/>
      <c r="CM24" s="155"/>
    </row>
    <row r="25" spans="1:91" ht="15" customHeight="1">
      <c r="A25" s="285" t="s">
        <v>35</v>
      </c>
      <c r="B25" s="293"/>
      <c r="C25" s="278"/>
      <c r="D25" s="279"/>
      <c r="E25" s="288"/>
      <c r="F25" s="294">
        <f>SUM(F15:F24)</f>
        <v>0</v>
      </c>
      <c r="G25" s="291">
        <f>SUM(G15:G24)</f>
        <v>0</v>
      </c>
      <c r="H25" s="282"/>
      <c r="I25" s="278"/>
      <c r="J25" s="278"/>
      <c r="K25" s="278"/>
      <c r="L25" s="278"/>
      <c r="M25" s="295"/>
      <c r="N25" s="295"/>
      <c r="O25" s="296"/>
      <c r="P25" s="296"/>
      <c r="Q25" s="289">
        <f>SUM(Q15:Q24)</f>
        <v>0</v>
      </c>
      <c r="R25" s="289">
        <f aca="true" t="shared" si="14" ref="R25:AF25">SUM(R15:R24)</f>
        <v>0</v>
      </c>
      <c r="S25" s="289">
        <f t="shared" si="14"/>
        <v>0</v>
      </c>
      <c r="T25" s="289">
        <f t="shared" si="14"/>
        <v>0</v>
      </c>
      <c r="U25" s="289">
        <f t="shared" si="14"/>
        <v>0</v>
      </c>
      <c r="V25" s="289">
        <f t="shared" si="14"/>
        <v>0</v>
      </c>
      <c r="W25" s="289">
        <f t="shared" si="14"/>
        <v>0</v>
      </c>
      <c r="X25" s="289">
        <f t="shared" si="14"/>
        <v>0</v>
      </c>
      <c r="Y25" s="289">
        <f t="shared" si="14"/>
        <v>0</v>
      </c>
      <c r="Z25" s="289">
        <f t="shared" si="14"/>
        <v>0</v>
      </c>
      <c r="AA25" s="289">
        <f t="shared" si="14"/>
        <v>0</v>
      </c>
      <c r="AB25" s="289">
        <f t="shared" si="14"/>
        <v>0</v>
      </c>
      <c r="AC25" s="289">
        <f t="shared" si="14"/>
        <v>0</v>
      </c>
      <c r="AD25" s="289">
        <f t="shared" si="14"/>
        <v>0</v>
      </c>
      <c r="AE25" s="289">
        <f t="shared" si="14"/>
        <v>0</v>
      </c>
      <c r="AF25" s="289">
        <f t="shared" si="14"/>
        <v>0</v>
      </c>
      <c r="AG25" s="115"/>
      <c r="AI25" s="28"/>
      <c r="AJ25" s="28"/>
      <c r="AK25" s="28"/>
      <c r="AL25" s="115"/>
      <c r="AM25" s="115"/>
      <c r="AN25" s="115"/>
      <c r="AO25" s="115"/>
      <c r="AQ25" s="28"/>
      <c r="AR25" s="28"/>
      <c r="AS25" s="28"/>
      <c r="AT25" s="115"/>
      <c r="AU25" s="115"/>
      <c r="AV25" s="115"/>
      <c r="AW25" s="115"/>
      <c r="AY25" s="28"/>
      <c r="AZ25" s="28"/>
      <c r="BA25" s="28"/>
      <c r="BB25" s="115"/>
      <c r="BC25" s="115"/>
      <c r="BD25" s="115"/>
      <c r="BE25" s="115"/>
      <c r="BG25" s="28"/>
      <c r="BH25" s="28"/>
      <c r="BI25" s="28"/>
      <c r="BJ25" s="115"/>
      <c r="BK25" s="115"/>
      <c r="BL25" s="115"/>
      <c r="BM25" s="115"/>
      <c r="BO25" s="28"/>
      <c r="BP25" s="28"/>
      <c r="BQ25" s="27"/>
      <c r="BR25" s="28"/>
      <c r="BS25" s="28"/>
      <c r="BT25" s="28"/>
      <c r="BU25" s="28"/>
      <c r="BV25" s="28"/>
      <c r="BW25" s="28"/>
      <c r="BX25" s="28"/>
      <c r="BY25" s="27"/>
      <c r="BZ25" s="115"/>
      <c r="CB25" s="28"/>
      <c r="CC25" s="28"/>
      <c r="CD25" s="27"/>
      <c r="CE25" s="28"/>
      <c r="CF25" s="28"/>
      <c r="CG25" s="28"/>
      <c r="CH25" s="28"/>
      <c r="CI25" s="28"/>
      <c r="CJ25" s="28"/>
      <c r="CK25" s="28"/>
      <c r="CL25" s="27"/>
      <c r="CM25" s="115"/>
    </row>
    <row r="26" spans="1:91" s="50" customFormat="1" ht="12.75">
      <c r="A26" s="199"/>
      <c r="B26" s="157" t="s">
        <v>84</v>
      </c>
      <c r="C26" s="192" t="s">
        <v>242</v>
      </c>
      <c r="D26" s="208" t="s">
        <v>36</v>
      </c>
      <c r="E26" s="206" t="s">
        <v>51</v>
      </c>
      <c r="F26" s="161">
        <f>AE26</f>
        <v>0</v>
      </c>
      <c r="G26" s="161">
        <f aca="true" t="shared" si="15" ref="G26:G51">F26/18</f>
        <v>0</v>
      </c>
      <c r="H26" s="25">
        <v>6739</v>
      </c>
      <c r="I26" s="149">
        <v>0.1</v>
      </c>
      <c r="J26" s="149">
        <v>0.3</v>
      </c>
      <c r="K26" s="149">
        <v>0.25</v>
      </c>
      <c r="L26" s="149">
        <v>0.8</v>
      </c>
      <c r="M26" s="151">
        <f aca="true" t="shared" si="16" ref="M26:M38">H26*(1+I26+J26+K26+L26)</f>
        <v>16510.550000000003</v>
      </c>
      <c r="N26" s="243">
        <f aca="true" t="shared" si="17" ref="N26:N54">ROUND(M26,0)</f>
        <v>16511</v>
      </c>
      <c r="O26" s="149"/>
      <c r="P26" s="245">
        <f>ROUND(N26*O26,2)</f>
        <v>0</v>
      </c>
      <c r="Q26" s="153">
        <f aca="true" t="shared" si="18" ref="Q26:Q54">AF26</f>
        <v>0</v>
      </c>
      <c r="R26" s="52"/>
      <c r="S26" s="52"/>
      <c r="T26" s="52"/>
      <c r="U26" s="153"/>
      <c r="V26" s="153">
        <f>ROUND(Q26*10/100,2)</f>
        <v>0</v>
      </c>
      <c r="W26" s="153"/>
      <c r="X26" s="153">
        <f aca="true" t="shared" si="19" ref="X26:X54">Q26+S26+U26+V26+W26</f>
        <v>0</v>
      </c>
      <c r="Y26" s="164"/>
      <c r="Z26" s="153">
        <f>ROUND(P26/18*Y26,2)</f>
        <v>0</v>
      </c>
      <c r="AA26" s="154"/>
      <c r="AB26" s="153">
        <f>ROUND(P26/18*AA26,2)</f>
        <v>0</v>
      </c>
      <c r="AC26" s="52"/>
      <c r="AD26" s="79">
        <f aca="true" t="shared" si="20" ref="AD26:AD44">P26/18*AC26</f>
        <v>0</v>
      </c>
      <c r="AE26" s="163">
        <f aca="true" t="shared" si="21" ref="AE26:AE51">Y26+AA26</f>
        <v>0</v>
      </c>
      <c r="AF26" s="153">
        <f aca="true" t="shared" si="22" ref="AF26:AF51">Z26+AB26+AD26</f>
        <v>0</v>
      </c>
      <c r="AG26" s="155"/>
      <c r="AI26" s="159"/>
      <c r="AJ26" s="159"/>
      <c r="AK26" s="159"/>
      <c r="AL26" s="155"/>
      <c r="AM26" s="155"/>
      <c r="AN26" s="155"/>
      <c r="AO26" s="155"/>
      <c r="AQ26" s="159"/>
      <c r="AR26" s="159"/>
      <c r="AS26" s="159"/>
      <c r="AT26" s="155"/>
      <c r="AU26" s="155"/>
      <c r="AV26" s="155"/>
      <c r="AW26" s="155"/>
      <c r="AY26" s="159"/>
      <c r="AZ26" s="159"/>
      <c r="BA26" s="159"/>
      <c r="BB26" s="155"/>
      <c r="BC26" s="155"/>
      <c r="BD26" s="155"/>
      <c r="BE26" s="155"/>
      <c r="BG26" s="159"/>
      <c r="BH26" s="159"/>
      <c r="BI26" s="159"/>
      <c r="BJ26" s="155"/>
      <c r="BK26" s="155"/>
      <c r="BL26" s="155"/>
      <c r="BM26" s="155"/>
      <c r="BO26" s="159"/>
      <c r="BP26" s="159"/>
      <c r="BQ26" s="168"/>
      <c r="BR26" s="159"/>
      <c r="BS26" s="159"/>
      <c r="BT26" s="159"/>
      <c r="BU26" s="159"/>
      <c r="BV26" s="159"/>
      <c r="BW26" s="159"/>
      <c r="BX26" s="159"/>
      <c r="BY26" s="168"/>
      <c r="BZ26" s="155"/>
      <c r="CB26" s="159"/>
      <c r="CC26" s="159"/>
      <c r="CD26" s="168"/>
      <c r="CE26" s="159"/>
      <c r="CF26" s="159"/>
      <c r="CG26" s="159"/>
      <c r="CH26" s="159"/>
      <c r="CI26" s="159"/>
      <c r="CJ26" s="159"/>
      <c r="CK26" s="159"/>
      <c r="CL26" s="168"/>
      <c r="CM26" s="155"/>
    </row>
    <row r="27" spans="1:91" s="50" customFormat="1" ht="12.75">
      <c r="A27" s="199"/>
      <c r="B27" s="157" t="s">
        <v>84</v>
      </c>
      <c r="C27" s="192" t="s">
        <v>285</v>
      </c>
      <c r="D27" s="208" t="s">
        <v>36</v>
      </c>
      <c r="E27" s="206" t="s">
        <v>51</v>
      </c>
      <c r="F27" s="161">
        <f aca="true" t="shared" si="23" ref="F27:F54">AE27</f>
        <v>0</v>
      </c>
      <c r="G27" s="161">
        <f t="shared" si="15"/>
        <v>0</v>
      </c>
      <c r="H27" s="25">
        <v>6739</v>
      </c>
      <c r="I27" s="149">
        <v>0.1</v>
      </c>
      <c r="J27" s="149">
        <v>0.3</v>
      </c>
      <c r="K27" s="149">
        <v>0.25</v>
      </c>
      <c r="L27" s="149">
        <v>0.8</v>
      </c>
      <c r="M27" s="151">
        <f t="shared" si="16"/>
        <v>16510.550000000003</v>
      </c>
      <c r="N27" s="243">
        <f t="shared" si="17"/>
        <v>16511</v>
      </c>
      <c r="O27" s="149"/>
      <c r="P27" s="245">
        <f aca="true" t="shared" si="24" ref="P27:P38">ROUND(N27*O27,2)</f>
        <v>0</v>
      </c>
      <c r="Q27" s="153">
        <f t="shared" si="18"/>
        <v>0</v>
      </c>
      <c r="R27" s="52"/>
      <c r="S27" s="52"/>
      <c r="T27" s="52"/>
      <c r="U27" s="153"/>
      <c r="V27" s="153">
        <f>ROUND(Q27*10/100,2)</f>
        <v>0</v>
      </c>
      <c r="W27" s="153"/>
      <c r="X27" s="153">
        <f t="shared" si="19"/>
        <v>0</v>
      </c>
      <c r="Y27" s="164"/>
      <c r="Z27" s="153">
        <f aca="true" t="shared" si="25" ref="Z27:Z54">ROUND(P27/18*Y27,2)</f>
        <v>0</v>
      </c>
      <c r="AA27" s="154"/>
      <c r="AB27" s="153">
        <f aca="true" t="shared" si="26" ref="AB27:AB54">ROUND(P27/18*AA27,2)</f>
        <v>0</v>
      </c>
      <c r="AC27" s="53"/>
      <c r="AD27" s="79">
        <f t="shared" si="20"/>
        <v>0</v>
      </c>
      <c r="AE27" s="163">
        <f t="shared" si="21"/>
        <v>0</v>
      </c>
      <c r="AF27" s="153">
        <f t="shared" si="22"/>
        <v>0</v>
      </c>
      <c r="AG27" s="155"/>
      <c r="AI27" s="159"/>
      <c r="AJ27" s="159"/>
      <c r="AK27" s="159"/>
      <c r="AL27" s="155"/>
      <c r="AM27" s="155"/>
      <c r="AN27" s="155"/>
      <c r="AO27" s="155"/>
      <c r="AQ27" s="159"/>
      <c r="AR27" s="159"/>
      <c r="AS27" s="159"/>
      <c r="AT27" s="155"/>
      <c r="AU27" s="155"/>
      <c r="AV27" s="155"/>
      <c r="AW27" s="155"/>
      <c r="AY27" s="159"/>
      <c r="AZ27" s="159"/>
      <c r="BA27" s="159"/>
      <c r="BB27" s="155"/>
      <c r="BC27" s="155"/>
      <c r="BD27" s="155"/>
      <c r="BE27" s="155"/>
      <c r="BG27" s="159"/>
      <c r="BH27" s="159"/>
      <c r="BI27" s="159"/>
      <c r="BJ27" s="155"/>
      <c r="BK27" s="155"/>
      <c r="BL27" s="155"/>
      <c r="BM27" s="155"/>
      <c r="BO27" s="159"/>
      <c r="BP27" s="159"/>
      <c r="BQ27" s="168"/>
      <c r="BR27" s="159"/>
      <c r="BS27" s="159"/>
      <c r="BT27" s="159"/>
      <c r="BU27" s="159"/>
      <c r="BV27" s="159"/>
      <c r="BW27" s="159"/>
      <c r="BX27" s="159"/>
      <c r="BY27" s="168"/>
      <c r="BZ27" s="155"/>
      <c r="CB27" s="159"/>
      <c r="CC27" s="159"/>
      <c r="CD27" s="168"/>
      <c r="CE27" s="159"/>
      <c r="CF27" s="159"/>
      <c r="CG27" s="159"/>
      <c r="CH27" s="159"/>
      <c r="CI27" s="159"/>
      <c r="CJ27" s="159"/>
      <c r="CK27" s="159"/>
      <c r="CL27" s="168"/>
      <c r="CM27" s="155"/>
    </row>
    <row r="28" spans="1:91" s="50" customFormat="1" ht="12.75">
      <c r="A28" s="199"/>
      <c r="B28" s="158" t="s">
        <v>84</v>
      </c>
      <c r="C28" s="192" t="s">
        <v>253</v>
      </c>
      <c r="D28" s="208" t="s">
        <v>36</v>
      </c>
      <c r="E28" s="206"/>
      <c r="F28" s="161">
        <f t="shared" si="23"/>
        <v>0</v>
      </c>
      <c r="G28" s="161">
        <f t="shared" si="15"/>
        <v>0</v>
      </c>
      <c r="H28" s="25">
        <v>6739</v>
      </c>
      <c r="I28" s="149">
        <v>0.1</v>
      </c>
      <c r="J28" s="149">
        <v>0.1</v>
      </c>
      <c r="K28" s="149">
        <v>0.25</v>
      </c>
      <c r="L28" s="149"/>
      <c r="M28" s="151">
        <f t="shared" si="16"/>
        <v>9771.550000000001</v>
      </c>
      <c r="N28" s="243">
        <f t="shared" si="17"/>
        <v>9772</v>
      </c>
      <c r="O28" s="149"/>
      <c r="P28" s="245">
        <f t="shared" si="24"/>
        <v>0</v>
      </c>
      <c r="Q28" s="153">
        <f t="shared" si="18"/>
        <v>0</v>
      </c>
      <c r="R28" s="52"/>
      <c r="S28" s="79"/>
      <c r="T28" s="52"/>
      <c r="U28" s="153"/>
      <c r="V28" s="153"/>
      <c r="W28" s="153"/>
      <c r="X28" s="153">
        <f t="shared" si="19"/>
        <v>0</v>
      </c>
      <c r="Y28" s="164"/>
      <c r="Z28" s="153">
        <f t="shared" si="25"/>
        <v>0</v>
      </c>
      <c r="AA28" s="154"/>
      <c r="AB28" s="153">
        <f t="shared" si="26"/>
        <v>0</v>
      </c>
      <c r="AC28" s="52"/>
      <c r="AD28" s="79">
        <f t="shared" si="20"/>
        <v>0</v>
      </c>
      <c r="AE28" s="163">
        <f t="shared" si="21"/>
        <v>0</v>
      </c>
      <c r="AF28" s="153">
        <f t="shared" si="22"/>
        <v>0</v>
      </c>
      <c r="AG28" s="155"/>
      <c r="AI28" s="159"/>
      <c r="AJ28" s="159"/>
      <c r="AK28" s="159"/>
      <c r="AL28" s="155"/>
      <c r="AM28" s="155"/>
      <c r="AN28" s="155"/>
      <c r="AO28" s="155"/>
      <c r="AQ28" s="159"/>
      <c r="AR28" s="159"/>
      <c r="AS28" s="159"/>
      <c r="AT28" s="155"/>
      <c r="AU28" s="155"/>
      <c r="AV28" s="155"/>
      <c r="AW28" s="155"/>
      <c r="AY28" s="159"/>
      <c r="AZ28" s="159"/>
      <c r="BA28" s="159"/>
      <c r="BB28" s="155"/>
      <c r="BC28" s="155"/>
      <c r="BD28" s="155"/>
      <c r="BE28" s="155"/>
      <c r="BG28" s="159"/>
      <c r="BH28" s="159"/>
      <c r="BI28" s="159"/>
      <c r="BJ28" s="155"/>
      <c r="BK28" s="155"/>
      <c r="BL28" s="155"/>
      <c r="BM28" s="155"/>
      <c r="BO28" s="159"/>
      <c r="BP28" s="159"/>
      <c r="BQ28" s="168"/>
      <c r="BR28" s="159"/>
      <c r="BS28" s="159"/>
      <c r="BT28" s="159"/>
      <c r="BU28" s="159"/>
      <c r="BV28" s="159"/>
      <c r="BW28" s="159"/>
      <c r="BX28" s="159"/>
      <c r="BY28" s="168"/>
      <c r="BZ28" s="155"/>
      <c r="CB28" s="159"/>
      <c r="CC28" s="159"/>
      <c r="CD28" s="168"/>
      <c r="CE28" s="159"/>
      <c r="CF28" s="159"/>
      <c r="CG28" s="159"/>
      <c r="CH28" s="159"/>
      <c r="CI28" s="159"/>
      <c r="CJ28" s="159"/>
      <c r="CK28" s="159"/>
      <c r="CL28" s="168"/>
      <c r="CM28" s="155"/>
    </row>
    <row r="29" spans="1:91" s="50" customFormat="1" ht="12.75">
      <c r="A29" s="199"/>
      <c r="B29" s="158" t="s">
        <v>84</v>
      </c>
      <c r="C29" s="149" t="s">
        <v>274</v>
      </c>
      <c r="D29" s="208" t="s">
        <v>36</v>
      </c>
      <c r="E29" s="206" t="s">
        <v>230</v>
      </c>
      <c r="F29" s="161">
        <f t="shared" si="23"/>
        <v>0</v>
      </c>
      <c r="G29" s="161">
        <f t="shared" si="15"/>
        <v>0</v>
      </c>
      <c r="H29" s="25">
        <v>6739</v>
      </c>
      <c r="I29" s="149">
        <v>0.1</v>
      </c>
      <c r="J29" s="149">
        <v>0.1</v>
      </c>
      <c r="K29" s="149">
        <v>0.25</v>
      </c>
      <c r="L29" s="149"/>
      <c r="M29" s="151">
        <f>H29*(1+I29+J29+K29+L29)</f>
        <v>9771.550000000001</v>
      </c>
      <c r="N29" s="243">
        <f t="shared" si="17"/>
        <v>9772</v>
      </c>
      <c r="O29" s="149"/>
      <c r="P29" s="245">
        <f>ROUND(N29*O29,0)</f>
        <v>0</v>
      </c>
      <c r="Q29" s="153">
        <f t="shared" si="18"/>
        <v>0</v>
      </c>
      <c r="R29" s="52"/>
      <c r="S29" s="52"/>
      <c r="T29" s="52"/>
      <c r="U29" s="153"/>
      <c r="V29" s="153">
        <f>ROUND(Q29*20/100,2)</f>
        <v>0</v>
      </c>
      <c r="W29" s="153"/>
      <c r="X29" s="153">
        <f t="shared" si="19"/>
        <v>0</v>
      </c>
      <c r="Y29" s="164"/>
      <c r="Z29" s="153">
        <f t="shared" si="25"/>
        <v>0</v>
      </c>
      <c r="AA29" s="154"/>
      <c r="AB29" s="153">
        <f t="shared" si="26"/>
        <v>0</v>
      </c>
      <c r="AC29" s="52"/>
      <c r="AD29" s="79">
        <f t="shared" si="20"/>
        <v>0</v>
      </c>
      <c r="AE29" s="163">
        <f t="shared" si="21"/>
        <v>0</v>
      </c>
      <c r="AF29" s="153">
        <f t="shared" si="22"/>
        <v>0</v>
      </c>
      <c r="AG29" s="155"/>
      <c r="AI29" s="159"/>
      <c r="AJ29" s="159"/>
      <c r="AK29" s="159"/>
      <c r="AL29" s="155"/>
      <c r="AM29" s="155"/>
      <c r="AN29" s="155"/>
      <c r="AO29" s="155"/>
      <c r="AQ29" s="159"/>
      <c r="AR29" s="159"/>
      <c r="AS29" s="159"/>
      <c r="AT29" s="155"/>
      <c r="AU29" s="155"/>
      <c r="AV29" s="155"/>
      <c r="AW29" s="155"/>
      <c r="AY29" s="159"/>
      <c r="AZ29" s="159"/>
      <c r="BA29" s="159"/>
      <c r="BB29" s="155"/>
      <c r="BC29" s="155"/>
      <c r="BD29" s="155"/>
      <c r="BE29" s="155"/>
      <c r="BG29" s="159"/>
      <c r="BH29" s="159"/>
      <c r="BI29" s="159"/>
      <c r="BJ29" s="155"/>
      <c r="BK29" s="155"/>
      <c r="BL29" s="155"/>
      <c r="BM29" s="155"/>
      <c r="BO29" s="159"/>
      <c r="BP29" s="159"/>
      <c r="BQ29" s="168"/>
      <c r="BR29" s="159"/>
      <c r="BS29" s="159"/>
      <c r="BT29" s="159"/>
      <c r="BU29" s="159"/>
      <c r="BV29" s="159"/>
      <c r="BW29" s="159"/>
      <c r="BX29" s="159"/>
      <c r="BY29" s="168"/>
      <c r="BZ29" s="155"/>
      <c r="CB29" s="159"/>
      <c r="CC29" s="159"/>
      <c r="CD29" s="168"/>
      <c r="CE29" s="159"/>
      <c r="CF29" s="159"/>
      <c r="CG29" s="159"/>
      <c r="CH29" s="159"/>
      <c r="CI29" s="159"/>
      <c r="CJ29" s="159"/>
      <c r="CK29" s="159"/>
      <c r="CL29" s="168"/>
      <c r="CM29" s="155"/>
    </row>
    <row r="30" spans="1:91" s="50" customFormat="1" ht="12.75">
      <c r="A30" s="199"/>
      <c r="B30" s="158" t="s">
        <v>84</v>
      </c>
      <c r="C30" s="192" t="s">
        <v>243</v>
      </c>
      <c r="D30" s="208" t="s">
        <v>36</v>
      </c>
      <c r="E30" s="206" t="s">
        <v>51</v>
      </c>
      <c r="F30" s="161">
        <f t="shared" si="23"/>
        <v>0</v>
      </c>
      <c r="G30" s="161">
        <f t="shared" si="15"/>
        <v>0</v>
      </c>
      <c r="H30" s="25">
        <v>6739</v>
      </c>
      <c r="I30" s="149">
        <v>0.1</v>
      </c>
      <c r="J30" s="149">
        <v>0.3</v>
      </c>
      <c r="K30" s="149">
        <v>0.25</v>
      </c>
      <c r="L30" s="149">
        <v>0.8</v>
      </c>
      <c r="M30" s="151">
        <f>H30*(1+I30+J30+K30+L30)</f>
        <v>16510.550000000003</v>
      </c>
      <c r="N30" s="243">
        <f t="shared" si="17"/>
        <v>16511</v>
      </c>
      <c r="O30" s="149"/>
      <c r="P30" s="245">
        <f t="shared" si="24"/>
        <v>0</v>
      </c>
      <c r="Q30" s="153">
        <f t="shared" si="18"/>
        <v>0</v>
      </c>
      <c r="R30" s="52"/>
      <c r="S30" s="52"/>
      <c r="T30" s="52"/>
      <c r="U30" s="153"/>
      <c r="V30" s="153"/>
      <c r="W30" s="153"/>
      <c r="X30" s="153">
        <f t="shared" si="19"/>
        <v>0</v>
      </c>
      <c r="Y30" s="164"/>
      <c r="Z30" s="153">
        <f t="shared" si="25"/>
        <v>0</v>
      </c>
      <c r="AA30" s="154"/>
      <c r="AB30" s="153">
        <f t="shared" si="26"/>
        <v>0</v>
      </c>
      <c r="AC30" s="52"/>
      <c r="AD30" s="79">
        <f t="shared" si="20"/>
        <v>0</v>
      </c>
      <c r="AE30" s="163">
        <f t="shared" si="21"/>
        <v>0</v>
      </c>
      <c r="AF30" s="153">
        <f t="shared" si="22"/>
        <v>0</v>
      </c>
      <c r="AG30" s="155"/>
      <c r="AI30" s="159"/>
      <c r="AJ30" s="159"/>
      <c r="AK30" s="159"/>
      <c r="AL30" s="155"/>
      <c r="AM30" s="155"/>
      <c r="AN30" s="159"/>
      <c r="AO30" s="159"/>
      <c r="AQ30" s="159"/>
      <c r="AR30" s="159"/>
      <c r="AS30" s="159"/>
      <c r="AT30" s="155"/>
      <c r="AU30" s="155"/>
      <c r="AV30" s="159"/>
      <c r="AW30" s="159"/>
      <c r="AY30" s="159"/>
      <c r="AZ30" s="159"/>
      <c r="BA30" s="159"/>
      <c r="BB30" s="155"/>
      <c r="BC30" s="155"/>
      <c r="BD30" s="159"/>
      <c r="BE30" s="159"/>
      <c r="BG30" s="159"/>
      <c r="BH30" s="159"/>
      <c r="BI30" s="159"/>
      <c r="BJ30" s="155"/>
      <c r="BK30" s="155"/>
      <c r="BL30" s="159"/>
      <c r="BM30" s="159"/>
      <c r="BO30" s="159"/>
      <c r="BP30" s="159"/>
      <c r="BQ30" s="168"/>
      <c r="BR30" s="159"/>
      <c r="BS30" s="159"/>
      <c r="BT30" s="159"/>
      <c r="BU30" s="159"/>
      <c r="BV30" s="159"/>
      <c r="BW30" s="159"/>
      <c r="BX30" s="159"/>
      <c r="BY30" s="168"/>
      <c r="BZ30" s="155"/>
      <c r="CB30" s="159"/>
      <c r="CC30" s="159"/>
      <c r="CD30" s="168"/>
      <c r="CE30" s="159"/>
      <c r="CF30" s="159"/>
      <c r="CG30" s="159"/>
      <c r="CH30" s="159"/>
      <c r="CI30" s="159"/>
      <c r="CJ30" s="159"/>
      <c r="CK30" s="159"/>
      <c r="CL30" s="168"/>
      <c r="CM30" s="155"/>
    </row>
    <row r="31" spans="1:91" s="50" customFormat="1" ht="12.75">
      <c r="A31" s="199"/>
      <c r="B31" s="158" t="s">
        <v>292</v>
      </c>
      <c r="C31" s="192" t="s">
        <v>293</v>
      </c>
      <c r="D31" s="208" t="s">
        <v>36</v>
      </c>
      <c r="E31" s="206" t="s">
        <v>230</v>
      </c>
      <c r="F31" s="161">
        <f t="shared" si="23"/>
        <v>0</v>
      </c>
      <c r="G31" s="161">
        <f>F31/18</f>
        <v>0</v>
      </c>
      <c r="H31" s="25">
        <v>6739</v>
      </c>
      <c r="I31" s="149"/>
      <c r="J31" s="149">
        <v>0.1</v>
      </c>
      <c r="K31" s="149">
        <v>0.25</v>
      </c>
      <c r="L31" s="149"/>
      <c r="M31" s="151">
        <f>H31*(1+I31+J31+K31+L31)</f>
        <v>9097.650000000001</v>
      </c>
      <c r="N31" s="243">
        <f>ROUND(M31,0)</f>
        <v>9098</v>
      </c>
      <c r="O31" s="149"/>
      <c r="P31" s="245">
        <f>ROUND(N31*O31,2)</f>
        <v>0</v>
      </c>
      <c r="Q31" s="153">
        <f>AF31</f>
        <v>0</v>
      </c>
      <c r="R31" s="52"/>
      <c r="S31" s="52"/>
      <c r="T31" s="52"/>
      <c r="U31" s="153"/>
      <c r="V31" s="153"/>
      <c r="W31" s="153"/>
      <c r="X31" s="153">
        <f>Q31+S31+U31+V31+W31</f>
        <v>0</v>
      </c>
      <c r="Y31" s="276"/>
      <c r="Z31" s="153">
        <f>ROUND(P31/18*Y31,2)</f>
        <v>0</v>
      </c>
      <c r="AA31" s="154"/>
      <c r="AB31" s="153">
        <f>ROUND(P31/18*AA31,2)</f>
        <v>0</v>
      </c>
      <c r="AC31" s="52"/>
      <c r="AD31" s="79">
        <f>P31/18*AC31</f>
        <v>0</v>
      </c>
      <c r="AE31" s="163">
        <f>Y31+AA31</f>
        <v>0</v>
      </c>
      <c r="AF31" s="153">
        <f>Z31+AB31+AD31</f>
        <v>0</v>
      </c>
      <c r="AG31" s="155"/>
      <c r="AI31" s="159"/>
      <c r="AJ31" s="159"/>
      <c r="AK31" s="159"/>
      <c r="AL31" s="155"/>
      <c r="AM31" s="155"/>
      <c r="AN31" s="159"/>
      <c r="AO31" s="159"/>
      <c r="AQ31" s="159"/>
      <c r="AR31" s="159"/>
      <c r="AS31" s="159"/>
      <c r="AT31" s="155"/>
      <c r="AU31" s="155"/>
      <c r="AV31" s="159"/>
      <c r="AW31" s="159"/>
      <c r="AY31" s="159"/>
      <c r="AZ31" s="159"/>
      <c r="BA31" s="159"/>
      <c r="BB31" s="155"/>
      <c r="BC31" s="155"/>
      <c r="BD31" s="159"/>
      <c r="BE31" s="159"/>
      <c r="BG31" s="159"/>
      <c r="BH31" s="159"/>
      <c r="BI31" s="159"/>
      <c r="BJ31" s="155"/>
      <c r="BK31" s="155"/>
      <c r="BL31" s="159"/>
      <c r="BM31" s="159"/>
      <c r="BO31" s="159"/>
      <c r="BP31" s="159"/>
      <c r="BQ31" s="168"/>
      <c r="BR31" s="159"/>
      <c r="BS31" s="159"/>
      <c r="BT31" s="159"/>
      <c r="BU31" s="159"/>
      <c r="BV31" s="159"/>
      <c r="BW31" s="159"/>
      <c r="BX31" s="159"/>
      <c r="BY31" s="168"/>
      <c r="BZ31" s="155"/>
      <c r="CB31" s="159"/>
      <c r="CC31" s="159"/>
      <c r="CD31" s="168"/>
      <c r="CE31" s="159"/>
      <c r="CF31" s="159"/>
      <c r="CG31" s="159"/>
      <c r="CH31" s="159"/>
      <c r="CI31" s="159"/>
      <c r="CJ31" s="159"/>
      <c r="CK31" s="159"/>
      <c r="CL31" s="168"/>
      <c r="CM31" s="155"/>
    </row>
    <row r="32" spans="1:91" s="50" customFormat="1" ht="12.75">
      <c r="A32" s="199"/>
      <c r="B32" s="158" t="s">
        <v>84</v>
      </c>
      <c r="C32" s="192" t="s">
        <v>269</v>
      </c>
      <c r="D32" s="208" t="s">
        <v>36</v>
      </c>
      <c r="E32" s="206" t="s">
        <v>51</v>
      </c>
      <c r="F32" s="161">
        <f t="shared" si="23"/>
        <v>0</v>
      </c>
      <c r="G32" s="161">
        <f t="shared" si="15"/>
        <v>0</v>
      </c>
      <c r="H32" s="25">
        <v>6739</v>
      </c>
      <c r="I32" s="149">
        <v>0.1</v>
      </c>
      <c r="J32" s="149">
        <v>0.3</v>
      </c>
      <c r="K32" s="149">
        <v>0.25</v>
      </c>
      <c r="L32" s="149">
        <v>0.8</v>
      </c>
      <c r="M32" s="151">
        <f>H32*(1+I32+J32+K32+L32)</f>
        <v>16510.550000000003</v>
      </c>
      <c r="N32" s="243">
        <f t="shared" si="17"/>
        <v>16511</v>
      </c>
      <c r="O32" s="149"/>
      <c r="P32" s="245">
        <f t="shared" si="24"/>
        <v>0</v>
      </c>
      <c r="Q32" s="153">
        <f t="shared" si="18"/>
        <v>0</v>
      </c>
      <c r="R32" s="52"/>
      <c r="S32" s="52"/>
      <c r="T32" s="52"/>
      <c r="U32" s="153"/>
      <c r="V32" s="153"/>
      <c r="W32" s="153"/>
      <c r="X32" s="153">
        <f t="shared" si="19"/>
        <v>0</v>
      </c>
      <c r="Y32" s="164"/>
      <c r="Z32" s="153">
        <f t="shared" si="25"/>
        <v>0</v>
      </c>
      <c r="AA32" s="154"/>
      <c r="AB32" s="153">
        <f t="shared" si="26"/>
        <v>0</v>
      </c>
      <c r="AC32" s="52"/>
      <c r="AD32" s="79">
        <f t="shared" si="20"/>
        <v>0</v>
      </c>
      <c r="AE32" s="163">
        <f t="shared" si="21"/>
        <v>0</v>
      </c>
      <c r="AF32" s="153">
        <f t="shared" si="22"/>
        <v>0</v>
      </c>
      <c r="AG32" s="155"/>
      <c r="AI32" s="159"/>
      <c r="AJ32" s="159"/>
      <c r="AK32" s="159"/>
      <c r="AL32" s="155"/>
      <c r="AM32" s="155"/>
      <c r="AN32" s="159"/>
      <c r="AO32" s="159"/>
      <c r="AQ32" s="159"/>
      <c r="AR32" s="159"/>
      <c r="AS32" s="159"/>
      <c r="AT32" s="155"/>
      <c r="AU32" s="155"/>
      <c r="AV32" s="159"/>
      <c r="AW32" s="159"/>
      <c r="AY32" s="159"/>
      <c r="AZ32" s="159"/>
      <c r="BA32" s="159"/>
      <c r="BB32" s="155"/>
      <c r="BC32" s="155"/>
      <c r="BD32" s="159"/>
      <c r="BE32" s="159"/>
      <c r="BG32" s="159"/>
      <c r="BH32" s="159"/>
      <c r="BI32" s="159"/>
      <c r="BJ32" s="155"/>
      <c r="BK32" s="155"/>
      <c r="BL32" s="159"/>
      <c r="BM32" s="159"/>
      <c r="BO32" s="159"/>
      <c r="BP32" s="159"/>
      <c r="BQ32" s="168"/>
      <c r="BR32" s="159"/>
      <c r="BS32" s="159"/>
      <c r="BT32" s="159"/>
      <c r="BU32" s="159"/>
      <c r="BV32" s="159"/>
      <c r="BW32" s="159"/>
      <c r="BX32" s="159"/>
      <c r="BY32" s="168"/>
      <c r="BZ32" s="155"/>
      <c r="CB32" s="159"/>
      <c r="CC32" s="159"/>
      <c r="CD32" s="168"/>
      <c r="CE32" s="159"/>
      <c r="CF32" s="159"/>
      <c r="CG32" s="159"/>
      <c r="CH32" s="159"/>
      <c r="CI32" s="159"/>
      <c r="CJ32" s="159"/>
      <c r="CK32" s="159"/>
      <c r="CL32" s="168"/>
      <c r="CM32" s="155"/>
    </row>
    <row r="33" spans="1:91" s="50" customFormat="1" ht="12.75" customHeight="1">
      <c r="A33" s="199"/>
      <c r="B33" s="158" t="s">
        <v>84</v>
      </c>
      <c r="C33" s="192" t="s">
        <v>275</v>
      </c>
      <c r="D33" s="208" t="s">
        <v>36</v>
      </c>
      <c r="E33" s="206" t="s">
        <v>50</v>
      </c>
      <c r="F33" s="161">
        <f t="shared" si="23"/>
        <v>0</v>
      </c>
      <c r="G33" s="161">
        <f t="shared" si="15"/>
        <v>0</v>
      </c>
      <c r="H33" s="25">
        <v>6739</v>
      </c>
      <c r="I33" s="149">
        <v>0.1</v>
      </c>
      <c r="J33" s="149">
        <v>0.1</v>
      </c>
      <c r="K33" s="149">
        <v>0.25</v>
      </c>
      <c r="L33" s="149"/>
      <c r="M33" s="151">
        <f>H33*(1+I33+J33+K33+L33)</f>
        <v>9771.550000000001</v>
      </c>
      <c r="N33" s="243">
        <f t="shared" si="17"/>
        <v>9772</v>
      </c>
      <c r="O33" s="119"/>
      <c r="P33" s="245">
        <f t="shared" si="24"/>
        <v>0</v>
      </c>
      <c r="Q33" s="153">
        <f t="shared" si="18"/>
        <v>0</v>
      </c>
      <c r="R33" s="52"/>
      <c r="S33" s="52"/>
      <c r="T33" s="52"/>
      <c r="U33" s="153"/>
      <c r="V33" s="153"/>
      <c r="W33" s="153"/>
      <c r="X33" s="153">
        <f t="shared" si="19"/>
        <v>0</v>
      </c>
      <c r="Y33" s="164"/>
      <c r="Z33" s="153">
        <f t="shared" si="25"/>
        <v>0</v>
      </c>
      <c r="AA33" s="154"/>
      <c r="AB33" s="153">
        <f t="shared" si="26"/>
        <v>0</v>
      </c>
      <c r="AC33" s="52"/>
      <c r="AD33" s="79">
        <f t="shared" si="20"/>
        <v>0</v>
      </c>
      <c r="AE33" s="163">
        <f t="shared" si="21"/>
        <v>0</v>
      </c>
      <c r="AF33" s="153">
        <f t="shared" si="22"/>
        <v>0</v>
      </c>
      <c r="AG33" s="155"/>
      <c r="AI33" s="159"/>
      <c r="AJ33" s="159"/>
      <c r="AK33" s="159"/>
      <c r="AL33" s="155"/>
      <c r="AM33" s="155"/>
      <c r="AN33" s="155"/>
      <c r="AO33" s="155"/>
      <c r="AQ33" s="159"/>
      <c r="AR33" s="159"/>
      <c r="AS33" s="159"/>
      <c r="AT33" s="155"/>
      <c r="AU33" s="155"/>
      <c r="AV33" s="155"/>
      <c r="AW33" s="155"/>
      <c r="AY33" s="159"/>
      <c r="AZ33" s="159"/>
      <c r="BA33" s="159"/>
      <c r="BB33" s="155"/>
      <c r="BC33" s="155"/>
      <c r="BD33" s="155"/>
      <c r="BE33" s="155"/>
      <c r="BG33" s="159"/>
      <c r="BH33" s="159"/>
      <c r="BI33" s="159"/>
      <c r="BJ33" s="155"/>
      <c r="BK33" s="155"/>
      <c r="BL33" s="155"/>
      <c r="BM33" s="155"/>
      <c r="BO33" s="159"/>
      <c r="BP33" s="159"/>
      <c r="BQ33" s="168"/>
      <c r="BR33" s="159"/>
      <c r="BS33" s="159"/>
      <c r="BT33" s="159"/>
      <c r="BU33" s="159"/>
      <c r="BV33" s="159"/>
      <c r="BW33" s="159"/>
      <c r="BX33" s="159"/>
      <c r="BY33" s="168"/>
      <c r="BZ33" s="155"/>
      <c r="CB33" s="159"/>
      <c r="CC33" s="159"/>
      <c r="CD33" s="168"/>
      <c r="CE33" s="159"/>
      <c r="CF33" s="159"/>
      <c r="CG33" s="159"/>
      <c r="CH33" s="159"/>
      <c r="CI33" s="159"/>
      <c r="CJ33" s="159"/>
      <c r="CK33" s="159"/>
      <c r="CL33" s="168"/>
      <c r="CM33" s="155"/>
    </row>
    <row r="34" spans="1:91" s="50" customFormat="1" ht="14.25" customHeight="1">
      <c r="A34" s="199"/>
      <c r="B34" s="158" t="s">
        <v>84</v>
      </c>
      <c r="C34" s="192" t="s">
        <v>272</v>
      </c>
      <c r="D34" s="208" t="s">
        <v>36</v>
      </c>
      <c r="E34" s="206" t="s">
        <v>230</v>
      </c>
      <c r="F34" s="161">
        <f t="shared" si="23"/>
        <v>0</v>
      </c>
      <c r="G34" s="161">
        <f t="shared" si="15"/>
        <v>0</v>
      </c>
      <c r="H34" s="25">
        <v>6739</v>
      </c>
      <c r="I34" s="149">
        <v>0.1</v>
      </c>
      <c r="J34" s="149">
        <v>0.2</v>
      </c>
      <c r="K34" s="149">
        <v>0.25</v>
      </c>
      <c r="L34" s="149">
        <v>0</v>
      </c>
      <c r="M34" s="151">
        <f t="shared" si="16"/>
        <v>10445.45</v>
      </c>
      <c r="N34" s="243">
        <f t="shared" si="17"/>
        <v>10445</v>
      </c>
      <c r="O34" s="149"/>
      <c r="P34" s="245">
        <f t="shared" si="24"/>
        <v>0</v>
      </c>
      <c r="Q34" s="153">
        <f t="shared" si="18"/>
        <v>0</v>
      </c>
      <c r="R34" s="52"/>
      <c r="S34" s="79"/>
      <c r="T34" s="52"/>
      <c r="U34" s="153"/>
      <c r="V34" s="153">
        <f>ROUND(Q34*15/100,2)</f>
        <v>0</v>
      </c>
      <c r="W34" s="153"/>
      <c r="X34" s="153">
        <f t="shared" si="19"/>
        <v>0</v>
      </c>
      <c r="Y34" s="163"/>
      <c r="Z34" s="153">
        <f t="shared" si="25"/>
        <v>0</v>
      </c>
      <c r="AA34" s="154"/>
      <c r="AB34" s="153">
        <f t="shared" si="26"/>
        <v>0</v>
      </c>
      <c r="AC34" s="52"/>
      <c r="AD34" s="79">
        <f t="shared" si="20"/>
        <v>0</v>
      </c>
      <c r="AE34" s="163">
        <f t="shared" si="21"/>
        <v>0</v>
      </c>
      <c r="AF34" s="153">
        <f t="shared" si="22"/>
        <v>0</v>
      </c>
      <c r="AG34" s="155"/>
      <c r="AI34" s="159"/>
      <c r="AJ34" s="159"/>
      <c r="AK34" s="159"/>
      <c r="AL34" s="155"/>
      <c r="AM34" s="155"/>
      <c r="AN34" s="155"/>
      <c r="AO34" s="155"/>
      <c r="AQ34" s="159"/>
      <c r="AR34" s="159"/>
      <c r="AS34" s="159"/>
      <c r="AT34" s="155"/>
      <c r="AU34" s="155"/>
      <c r="AV34" s="155"/>
      <c r="AW34" s="155"/>
      <c r="AY34" s="159"/>
      <c r="AZ34" s="159"/>
      <c r="BA34" s="159"/>
      <c r="BB34" s="155"/>
      <c r="BC34" s="155"/>
      <c r="BD34" s="155"/>
      <c r="BE34" s="155"/>
      <c r="BG34" s="159"/>
      <c r="BH34" s="159"/>
      <c r="BI34" s="159"/>
      <c r="BJ34" s="155"/>
      <c r="BK34" s="155"/>
      <c r="BL34" s="155"/>
      <c r="BM34" s="155"/>
      <c r="BO34" s="159"/>
      <c r="BP34" s="159"/>
      <c r="BQ34" s="168"/>
      <c r="BR34" s="159"/>
      <c r="BS34" s="159"/>
      <c r="BT34" s="159"/>
      <c r="BU34" s="159"/>
      <c r="BV34" s="159"/>
      <c r="BW34" s="159"/>
      <c r="BX34" s="159"/>
      <c r="BY34" s="168"/>
      <c r="BZ34" s="155"/>
      <c r="CB34" s="159"/>
      <c r="CC34" s="159"/>
      <c r="CD34" s="168"/>
      <c r="CE34" s="159"/>
      <c r="CF34" s="159"/>
      <c r="CG34" s="159"/>
      <c r="CH34" s="159"/>
      <c r="CI34" s="159"/>
      <c r="CJ34" s="159"/>
      <c r="CK34" s="159"/>
      <c r="CL34" s="168"/>
      <c r="CM34" s="155"/>
    </row>
    <row r="35" spans="1:91" s="50" customFormat="1" ht="12.75">
      <c r="A35" s="199"/>
      <c r="B35" s="157" t="s">
        <v>84</v>
      </c>
      <c r="C35" s="192" t="s">
        <v>235</v>
      </c>
      <c r="D35" s="208" t="s">
        <v>36</v>
      </c>
      <c r="E35" s="206"/>
      <c r="F35" s="161">
        <f t="shared" si="23"/>
        <v>0</v>
      </c>
      <c r="G35" s="161">
        <f t="shared" si="15"/>
        <v>0</v>
      </c>
      <c r="H35" s="25">
        <v>6739</v>
      </c>
      <c r="I35" s="149">
        <v>0.1</v>
      </c>
      <c r="J35" s="149">
        <v>0.3</v>
      </c>
      <c r="K35" s="149">
        <v>0.25</v>
      </c>
      <c r="L35" s="149"/>
      <c r="M35" s="150">
        <f t="shared" si="16"/>
        <v>11119.35</v>
      </c>
      <c r="N35" s="243">
        <f t="shared" si="17"/>
        <v>11119</v>
      </c>
      <c r="O35" s="149"/>
      <c r="P35" s="245">
        <f t="shared" si="24"/>
        <v>0</v>
      </c>
      <c r="Q35" s="153">
        <f t="shared" si="18"/>
        <v>0</v>
      </c>
      <c r="R35" s="52"/>
      <c r="S35" s="79"/>
      <c r="T35" s="52"/>
      <c r="U35" s="153"/>
      <c r="V35" s="153">
        <f>ROUND(Q35*10/100,2)</f>
        <v>0</v>
      </c>
      <c r="W35" s="153"/>
      <c r="X35" s="153">
        <f t="shared" si="19"/>
        <v>0</v>
      </c>
      <c r="Y35" s="164"/>
      <c r="Z35" s="153">
        <f t="shared" si="25"/>
        <v>0</v>
      </c>
      <c r="AA35" s="154"/>
      <c r="AB35" s="153">
        <f t="shared" si="26"/>
        <v>0</v>
      </c>
      <c r="AC35" s="52"/>
      <c r="AD35" s="79">
        <f t="shared" si="20"/>
        <v>0</v>
      </c>
      <c r="AE35" s="163">
        <f t="shared" si="21"/>
        <v>0</v>
      </c>
      <c r="AF35" s="153">
        <f t="shared" si="22"/>
        <v>0</v>
      </c>
      <c r="AG35" s="155"/>
      <c r="AI35" s="168"/>
      <c r="AJ35" s="168"/>
      <c r="AK35" s="168"/>
      <c r="AL35" s="168"/>
      <c r="AM35" s="168"/>
      <c r="AN35" s="168"/>
      <c r="AO35" s="168"/>
      <c r="AQ35" s="168"/>
      <c r="AR35" s="168"/>
      <c r="AS35" s="168"/>
      <c r="AT35" s="168"/>
      <c r="AU35" s="168"/>
      <c r="AV35" s="168"/>
      <c r="AW35" s="168"/>
      <c r="AY35" s="168"/>
      <c r="AZ35" s="168"/>
      <c r="BA35" s="168"/>
      <c r="BB35" s="168"/>
      <c r="BC35" s="168"/>
      <c r="BD35" s="168"/>
      <c r="BE35" s="168"/>
      <c r="BG35" s="168"/>
      <c r="BH35" s="168"/>
      <c r="BI35" s="168"/>
      <c r="BJ35" s="168"/>
      <c r="BK35" s="168"/>
      <c r="BL35" s="168"/>
      <c r="BM35" s="168"/>
      <c r="BO35" s="159"/>
      <c r="BP35" s="159"/>
      <c r="BQ35" s="168"/>
      <c r="BR35" s="159"/>
      <c r="BS35" s="159"/>
      <c r="BT35" s="159"/>
      <c r="BU35" s="159"/>
      <c r="BV35" s="159"/>
      <c r="BW35" s="159"/>
      <c r="BX35" s="159"/>
      <c r="BY35" s="168"/>
      <c r="BZ35" s="155"/>
      <c r="CB35" s="159"/>
      <c r="CC35" s="159"/>
      <c r="CD35" s="168"/>
      <c r="CE35" s="159"/>
      <c r="CF35" s="159"/>
      <c r="CG35" s="159"/>
      <c r="CH35" s="159"/>
      <c r="CI35" s="159"/>
      <c r="CJ35" s="159"/>
      <c r="CK35" s="159"/>
      <c r="CL35" s="168"/>
      <c r="CM35" s="155"/>
    </row>
    <row r="36" spans="1:91" s="50" customFormat="1" ht="12.75">
      <c r="A36" s="199"/>
      <c r="B36" s="157" t="s">
        <v>84</v>
      </c>
      <c r="C36" s="149" t="s">
        <v>246</v>
      </c>
      <c r="D36" s="208" t="s">
        <v>36</v>
      </c>
      <c r="E36" s="206" t="s">
        <v>51</v>
      </c>
      <c r="F36" s="161">
        <f t="shared" si="23"/>
        <v>0</v>
      </c>
      <c r="G36" s="161">
        <f t="shared" si="15"/>
        <v>0</v>
      </c>
      <c r="H36" s="25">
        <v>6739</v>
      </c>
      <c r="I36" s="149">
        <v>0.1</v>
      </c>
      <c r="J36" s="149">
        <v>0.3</v>
      </c>
      <c r="K36" s="149">
        <v>0.25</v>
      </c>
      <c r="L36" s="149">
        <v>0.4</v>
      </c>
      <c r="M36" s="150">
        <f t="shared" si="16"/>
        <v>13814.950000000003</v>
      </c>
      <c r="N36" s="243">
        <f t="shared" si="17"/>
        <v>13815</v>
      </c>
      <c r="O36" s="149"/>
      <c r="P36" s="245">
        <f t="shared" si="24"/>
        <v>0</v>
      </c>
      <c r="Q36" s="153">
        <f t="shared" si="18"/>
        <v>0</v>
      </c>
      <c r="R36" s="52"/>
      <c r="S36" s="52"/>
      <c r="T36" s="52"/>
      <c r="U36" s="153"/>
      <c r="V36" s="153"/>
      <c r="W36" s="153"/>
      <c r="X36" s="153">
        <f t="shared" si="19"/>
        <v>0</v>
      </c>
      <c r="Y36" s="164"/>
      <c r="Z36" s="153">
        <f t="shared" si="25"/>
        <v>0</v>
      </c>
      <c r="AA36" s="154"/>
      <c r="AB36" s="153">
        <f t="shared" si="26"/>
        <v>0</v>
      </c>
      <c r="AC36" s="52"/>
      <c r="AD36" s="79">
        <f t="shared" si="20"/>
        <v>0</v>
      </c>
      <c r="AE36" s="163">
        <f t="shared" si="21"/>
        <v>0</v>
      </c>
      <c r="AF36" s="153">
        <f t="shared" si="22"/>
        <v>0</v>
      </c>
      <c r="AG36" s="155"/>
      <c r="AI36" s="159"/>
      <c r="AJ36" s="159"/>
      <c r="AK36" s="159"/>
      <c r="AL36" s="155"/>
      <c r="AM36" s="155"/>
      <c r="AN36" s="155"/>
      <c r="AO36" s="155"/>
      <c r="AQ36" s="159"/>
      <c r="AR36" s="159"/>
      <c r="AS36" s="159"/>
      <c r="AT36" s="155"/>
      <c r="AU36" s="155"/>
      <c r="AV36" s="155"/>
      <c r="AW36" s="155"/>
      <c r="AY36" s="159"/>
      <c r="AZ36" s="159"/>
      <c r="BA36" s="159"/>
      <c r="BB36" s="155"/>
      <c r="BC36" s="155"/>
      <c r="BD36" s="155"/>
      <c r="BE36" s="155"/>
      <c r="BG36" s="159"/>
      <c r="BH36" s="159"/>
      <c r="BI36" s="159"/>
      <c r="BJ36" s="155"/>
      <c r="BK36" s="155"/>
      <c r="BL36" s="155"/>
      <c r="BM36" s="155"/>
      <c r="BO36" s="159"/>
      <c r="BP36" s="159"/>
      <c r="BQ36" s="168"/>
      <c r="BR36" s="159"/>
      <c r="BS36" s="159"/>
      <c r="BT36" s="159"/>
      <c r="BU36" s="159"/>
      <c r="BV36" s="159"/>
      <c r="BW36" s="159"/>
      <c r="BX36" s="159"/>
      <c r="BY36" s="168"/>
      <c r="BZ36" s="155"/>
      <c r="CB36" s="159"/>
      <c r="CC36" s="159"/>
      <c r="CD36" s="168"/>
      <c r="CE36" s="159"/>
      <c r="CF36" s="159"/>
      <c r="CG36" s="159"/>
      <c r="CH36" s="159"/>
      <c r="CI36" s="159"/>
      <c r="CJ36" s="159"/>
      <c r="CK36" s="159"/>
      <c r="CL36" s="168"/>
      <c r="CM36" s="155"/>
    </row>
    <row r="37" spans="1:91" s="50" customFormat="1" ht="12.75">
      <c r="A37" s="199"/>
      <c r="B37" s="158" t="s">
        <v>84</v>
      </c>
      <c r="C37" s="191" t="s">
        <v>234</v>
      </c>
      <c r="D37" s="208" t="s">
        <v>36</v>
      </c>
      <c r="E37" s="206" t="s">
        <v>51</v>
      </c>
      <c r="F37" s="161">
        <f t="shared" si="23"/>
        <v>0</v>
      </c>
      <c r="G37" s="161">
        <f t="shared" si="15"/>
        <v>0</v>
      </c>
      <c r="H37" s="25">
        <v>6739</v>
      </c>
      <c r="I37" s="149">
        <v>0.1</v>
      </c>
      <c r="J37" s="149">
        <v>0.3</v>
      </c>
      <c r="K37" s="149">
        <v>0.25</v>
      </c>
      <c r="L37" s="149">
        <v>0.8</v>
      </c>
      <c r="M37" s="150">
        <f t="shared" si="16"/>
        <v>16510.550000000003</v>
      </c>
      <c r="N37" s="243">
        <f t="shared" si="17"/>
        <v>16511</v>
      </c>
      <c r="O37" s="149"/>
      <c r="P37" s="245">
        <f t="shared" si="24"/>
        <v>0</v>
      </c>
      <c r="Q37" s="153">
        <f t="shared" si="18"/>
        <v>0</v>
      </c>
      <c r="R37" s="52"/>
      <c r="S37" s="79"/>
      <c r="T37" s="52"/>
      <c r="U37" s="153"/>
      <c r="V37" s="153"/>
      <c r="W37" s="153"/>
      <c r="X37" s="153">
        <f t="shared" si="19"/>
        <v>0</v>
      </c>
      <c r="Y37" s="164"/>
      <c r="Z37" s="153">
        <f t="shared" si="25"/>
        <v>0</v>
      </c>
      <c r="AA37" s="154"/>
      <c r="AB37" s="153">
        <f t="shared" si="26"/>
        <v>0</v>
      </c>
      <c r="AC37" s="52"/>
      <c r="AD37" s="79">
        <f t="shared" si="20"/>
        <v>0</v>
      </c>
      <c r="AE37" s="163">
        <f t="shared" si="21"/>
        <v>0</v>
      </c>
      <c r="AF37" s="153">
        <f t="shared" si="22"/>
        <v>0</v>
      </c>
      <c r="AG37" s="155"/>
      <c r="AI37" s="159"/>
      <c r="AJ37" s="159"/>
      <c r="AK37" s="159"/>
      <c r="AL37" s="155"/>
      <c r="AM37" s="155"/>
      <c r="AN37" s="159"/>
      <c r="AO37" s="159"/>
      <c r="AQ37" s="159"/>
      <c r="AR37" s="159"/>
      <c r="AS37" s="159"/>
      <c r="AT37" s="155"/>
      <c r="AU37" s="155"/>
      <c r="AV37" s="159"/>
      <c r="AW37" s="159"/>
      <c r="AY37" s="159"/>
      <c r="AZ37" s="159"/>
      <c r="BA37" s="159"/>
      <c r="BB37" s="155"/>
      <c r="BC37" s="155"/>
      <c r="BD37" s="159"/>
      <c r="BE37" s="159"/>
      <c r="BG37" s="159"/>
      <c r="BH37" s="159"/>
      <c r="BI37" s="159"/>
      <c r="BJ37" s="155"/>
      <c r="BK37" s="155"/>
      <c r="BL37" s="159"/>
      <c r="BM37" s="159"/>
      <c r="BO37" s="159"/>
      <c r="BP37" s="159"/>
      <c r="BQ37" s="168"/>
      <c r="BR37" s="159"/>
      <c r="BS37" s="159"/>
      <c r="BT37" s="159"/>
      <c r="BU37" s="159"/>
      <c r="BV37" s="159"/>
      <c r="BW37" s="159"/>
      <c r="BX37" s="159"/>
      <c r="BY37" s="168"/>
      <c r="BZ37" s="155"/>
      <c r="CB37" s="159"/>
      <c r="CC37" s="159"/>
      <c r="CD37" s="168"/>
      <c r="CE37" s="159"/>
      <c r="CF37" s="159"/>
      <c r="CG37" s="159"/>
      <c r="CH37" s="159"/>
      <c r="CI37" s="159"/>
      <c r="CJ37" s="159"/>
      <c r="CK37" s="159"/>
      <c r="CL37" s="168"/>
      <c r="CM37" s="155"/>
    </row>
    <row r="38" spans="1:91" s="50" customFormat="1" ht="12.75">
      <c r="A38" s="199"/>
      <c r="B38" s="158" t="s">
        <v>84</v>
      </c>
      <c r="C38" s="191" t="s">
        <v>268</v>
      </c>
      <c r="D38" s="208" t="s">
        <v>36</v>
      </c>
      <c r="E38" s="206" t="s">
        <v>230</v>
      </c>
      <c r="F38" s="161">
        <f t="shared" si="23"/>
        <v>0</v>
      </c>
      <c r="G38" s="161">
        <f t="shared" si="15"/>
        <v>0</v>
      </c>
      <c r="H38" s="25">
        <v>6739</v>
      </c>
      <c r="I38" s="149">
        <v>0.1</v>
      </c>
      <c r="J38" s="149">
        <v>0.2</v>
      </c>
      <c r="K38" s="149">
        <v>0.25</v>
      </c>
      <c r="L38" s="149">
        <v>0.4</v>
      </c>
      <c r="M38" s="150">
        <f t="shared" si="16"/>
        <v>13141.050000000001</v>
      </c>
      <c r="N38" s="243">
        <f t="shared" si="17"/>
        <v>13141</v>
      </c>
      <c r="O38" s="149"/>
      <c r="P38" s="245">
        <f t="shared" si="24"/>
        <v>0</v>
      </c>
      <c r="Q38" s="153">
        <f t="shared" si="18"/>
        <v>0</v>
      </c>
      <c r="R38" s="52"/>
      <c r="S38" s="52"/>
      <c r="T38" s="52"/>
      <c r="U38" s="153"/>
      <c r="V38" s="153"/>
      <c r="W38" s="153"/>
      <c r="X38" s="153">
        <f t="shared" si="19"/>
        <v>0</v>
      </c>
      <c r="Y38" s="164"/>
      <c r="Z38" s="153">
        <f t="shared" si="25"/>
        <v>0</v>
      </c>
      <c r="AA38" s="154"/>
      <c r="AB38" s="153">
        <f t="shared" si="26"/>
        <v>0</v>
      </c>
      <c r="AC38" s="52"/>
      <c r="AD38" s="79">
        <f t="shared" si="20"/>
        <v>0</v>
      </c>
      <c r="AE38" s="163">
        <f t="shared" si="21"/>
        <v>0</v>
      </c>
      <c r="AF38" s="153">
        <f t="shared" si="22"/>
        <v>0</v>
      </c>
      <c r="AG38" s="155"/>
      <c r="AI38" s="159"/>
      <c r="AJ38" s="159"/>
      <c r="AK38" s="159"/>
      <c r="AL38" s="155"/>
      <c r="AM38" s="155"/>
      <c r="AN38" s="159"/>
      <c r="AO38" s="159"/>
      <c r="AQ38" s="159"/>
      <c r="AR38" s="159"/>
      <c r="AS38" s="159"/>
      <c r="AT38" s="155"/>
      <c r="AU38" s="155"/>
      <c r="AV38" s="159"/>
      <c r="AW38" s="159"/>
      <c r="AY38" s="159"/>
      <c r="AZ38" s="159"/>
      <c r="BA38" s="159"/>
      <c r="BB38" s="155"/>
      <c r="BC38" s="155"/>
      <c r="BD38" s="159"/>
      <c r="BE38" s="159"/>
      <c r="BG38" s="159"/>
      <c r="BH38" s="159"/>
      <c r="BI38" s="159"/>
      <c r="BJ38" s="155"/>
      <c r="BK38" s="155"/>
      <c r="BL38" s="159"/>
      <c r="BM38" s="159"/>
      <c r="BO38" s="159"/>
      <c r="BP38" s="159"/>
      <c r="BQ38" s="168"/>
      <c r="BR38" s="159"/>
      <c r="BS38" s="159"/>
      <c r="BT38" s="159"/>
      <c r="BU38" s="159"/>
      <c r="BV38" s="159"/>
      <c r="BW38" s="159"/>
      <c r="BX38" s="159"/>
      <c r="BY38" s="168"/>
      <c r="BZ38" s="155"/>
      <c r="CB38" s="159"/>
      <c r="CC38" s="159"/>
      <c r="CD38" s="168"/>
      <c r="CE38" s="159"/>
      <c r="CF38" s="159"/>
      <c r="CG38" s="159"/>
      <c r="CH38" s="159"/>
      <c r="CI38" s="159"/>
      <c r="CJ38" s="159"/>
      <c r="CK38" s="159"/>
      <c r="CL38" s="168"/>
      <c r="CM38" s="155"/>
    </row>
    <row r="39" spans="1:91" s="50" customFormat="1" ht="12.75">
      <c r="A39" s="199"/>
      <c r="B39" s="86" t="s">
        <v>84</v>
      </c>
      <c r="C39" s="192" t="s">
        <v>245</v>
      </c>
      <c r="D39" s="208" t="s">
        <v>36</v>
      </c>
      <c r="E39" s="206" t="s">
        <v>50</v>
      </c>
      <c r="F39" s="161">
        <f t="shared" si="23"/>
        <v>0</v>
      </c>
      <c r="G39" s="161">
        <f t="shared" si="15"/>
        <v>0</v>
      </c>
      <c r="H39" s="25">
        <v>6739</v>
      </c>
      <c r="I39" s="149">
        <v>0.1</v>
      </c>
      <c r="J39" s="149">
        <v>0.3</v>
      </c>
      <c r="K39" s="149">
        <v>0.25</v>
      </c>
      <c r="L39" s="149">
        <v>0.4</v>
      </c>
      <c r="M39" s="150">
        <f aca="true" t="shared" si="27" ref="M39:M45">H39*(1+I39+J39+K39+L39)</f>
        <v>13814.950000000003</v>
      </c>
      <c r="N39" s="243">
        <f t="shared" si="17"/>
        <v>13815</v>
      </c>
      <c r="O39" s="149"/>
      <c r="P39" s="245">
        <f>ROUND(N39*O39,2)</f>
        <v>0</v>
      </c>
      <c r="Q39" s="153">
        <f t="shared" si="18"/>
        <v>0</v>
      </c>
      <c r="R39" s="52"/>
      <c r="S39" s="52"/>
      <c r="T39" s="52"/>
      <c r="U39" s="153"/>
      <c r="V39" s="153"/>
      <c r="W39" s="153"/>
      <c r="X39" s="153">
        <f t="shared" si="19"/>
        <v>0</v>
      </c>
      <c r="Y39" s="164"/>
      <c r="Z39" s="153">
        <f t="shared" si="25"/>
        <v>0</v>
      </c>
      <c r="AA39" s="154"/>
      <c r="AB39" s="153">
        <f t="shared" si="26"/>
        <v>0</v>
      </c>
      <c r="AC39" s="52"/>
      <c r="AD39" s="79">
        <f t="shared" si="20"/>
        <v>0</v>
      </c>
      <c r="AE39" s="163">
        <f t="shared" si="21"/>
        <v>0</v>
      </c>
      <c r="AF39" s="153">
        <f t="shared" si="22"/>
        <v>0</v>
      </c>
      <c r="AG39" s="155"/>
      <c r="AI39" s="159"/>
      <c r="AJ39" s="159"/>
      <c r="AK39" s="159"/>
      <c r="AL39" s="155"/>
      <c r="AM39" s="155"/>
      <c r="AN39" s="159"/>
      <c r="AO39" s="159"/>
      <c r="AQ39" s="159"/>
      <c r="AR39" s="159"/>
      <c r="AS39" s="159"/>
      <c r="AT39" s="155"/>
      <c r="AU39" s="155"/>
      <c r="AV39" s="159"/>
      <c r="AW39" s="159"/>
      <c r="AY39" s="159"/>
      <c r="AZ39" s="159"/>
      <c r="BA39" s="159"/>
      <c r="BB39" s="155"/>
      <c r="BC39" s="155"/>
      <c r="BD39" s="159"/>
      <c r="BE39" s="159"/>
      <c r="BG39" s="159"/>
      <c r="BH39" s="159"/>
      <c r="BI39" s="159"/>
      <c r="BJ39" s="155"/>
      <c r="BK39" s="155"/>
      <c r="BL39" s="159"/>
      <c r="BM39" s="159"/>
      <c r="BO39" s="159"/>
      <c r="BP39" s="159"/>
      <c r="BQ39" s="168"/>
      <c r="BR39" s="159"/>
      <c r="BS39" s="159"/>
      <c r="BT39" s="159"/>
      <c r="BU39" s="159"/>
      <c r="BV39" s="159"/>
      <c r="BW39" s="159"/>
      <c r="BX39" s="159"/>
      <c r="BY39" s="168"/>
      <c r="BZ39" s="155"/>
      <c r="CB39" s="159"/>
      <c r="CC39" s="159"/>
      <c r="CD39" s="168"/>
      <c r="CE39" s="159"/>
      <c r="CF39" s="159"/>
      <c r="CG39" s="159"/>
      <c r="CH39" s="159"/>
      <c r="CI39" s="159"/>
      <c r="CJ39" s="159"/>
      <c r="CK39" s="159"/>
      <c r="CL39" s="168"/>
      <c r="CM39" s="155"/>
    </row>
    <row r="40" spans="1:91" s="50" customFormat="1" ht="12.75">
      <c r="A40" s="199"/>
      <c r="B40" s="157" t="s">
        <v>84</v>
      </c>
      <c r="C40" s="149" t="s">
        <v>273</v>
      </c>
      <c r="D40" s="208" t="s">
        <v>36</v>
      </c>
      <c r="E40" s="212" t="s">
        <v>230</v>
      </c>
      <c r="F40" s="161">
        <f t="shared" si="23"/>
        <v>0</v>
      </c>
      <c r="G40" s="161">
        <f t="shared" si="15"/>
        <v>0</v>
      </c>
      <c r="H40" s="25">
        <v>6739</v>
      </c>
      <c r="I40" s="149">
        <v>0.1</v>
      </c>
      <c r="J40" s="149">
        <v>0.2</v>
      </c>
      <c r="K40" s="149">
        <v>0.25</v>
      </c>
      <c r="L40" s="149"/>
      <c r="M40" s="150">
        <f t="shared" si="27"/>
        <v>10445.45</v>
      </c>
      <c r="N40" s="243">
        <f t="shared" si="17"/>
        <v>10445</v>
      </c>
      <c r="O40" s="149"/>
      <c r="P40" s="245">
        <f aca="true" t="shared" si="28" ref="P40:P54">ROUND(N40*O40,2)</f>
        <v>0</v>
      </c>
      <c r="Q40" s="153">
        <f t="shared" si="18"/>
        <v>0</v>
      </c>
      <c r="R40" s="52"/>
      <c r="S40" s="52"/>
      <c r="T40" s="52"/>
      <c r="U40" s="153"/>
      <c r="V40" s="153"/>
      <c r="W40" s="153"/>
      <c r="X40" s="153">
        <f t="shared" si="19"/>
        <v>0</v>
      </c>
      <c r="Y40" s="164"/>
      <c r="Z40" s="153">
        <f t="shared" si="25"/>
        <v>0</v>
      </c>
      <c r="AA40" s="154"/>
      <c r="AB40" s="153">
        <f t="shared" si="26"/>
        <v>0</v>
      </c>
      <c r="AC40" s="52"/>
      <c r="AD40" s="79">
        <f t="shared" si="20"/>
        <v>0</v>
      </c>
      <c r="AE40" s="163">
        <f t="shared" si="21"/>
        <v>0</v>
      </c>
      <c r="AF40" s="153">
        <f t="shared" si="22"/>
        <v>0</v>
      </c>
      <c r="AG40" s="155"/>
      <c r="AI40" s="159"/>
      <c r="AJ40" s="159"/>
      <c r="AK40" s="159"/>
      <c r="AL40" s="155"/>
      <c r="AM40" s="155"/>
      <c r="AN40" s="159"/>
      <c r="AO40" s="159"/>
      <c r="AQ40" s="159"/>
      <c r="AR40" s="159"/>
      <c r="AS40" s="159"/>
      <c r="AT40" s="155"/>
      <c r="AU40" s="155"/>
      <c r="AV40" s="159"/>
      <c r="AW40" s="159"/>
      <c r="AY40" s="159"/>
      <c r="AZ40" s="159"/>
      <c r="BA40" s="159"/>
      <c r="BB40" s="155"/>
      <c r="BC40" s="155"/>
      <c r="BD40" s="159"/>
      <c r="BE40" s="159"/>
      <c r="BG40" s="159"/>
      <c r="BH40" s="159"/>
      <c r="BI40" s="159"/>
      <c r="BJ40" s="155"/>
      <c r="BK40" s="155"/>
      <c r="BL40" s="159"/>
      <c r="BM40" s="159"/>
      <c r="BO40" s="159"/>
      <c r="BP40" s="159"/>
      <c r="BQ40" s="168"/>
      <c r="BR40" s="159"/>
      <c r="BS40" s="159"/>
      <c r="BT40" s="159"/>
      <c r="BU40" s="159"/>
      <c r="BV40" s="159"/>
      <c r="BW40" s="159"/>
      <c r="BX40" s="159"/>
      <c r="BY40" s="168"/>
      <c r="BZ40" s="155"/>
      <c r="CB40" s="159"/>
      <c r="CC40" s="159"/>
      <c r="CD40" s="168"/>
      <c r="CE40" s="159"/>
      <c r="CF40" s="159"/>
      <c r="CG40" s="159"/>
      <c r="CH40" s="159"/>
      <c r="CI40" s="159"/>
      <c r="CJ40" s="159"/>
      <c r="CK40" s="159"/>
      <c r="CL40" s="168"/>
      <c r="CM40" s="155"/>
    </row>
    <row r="41" spans="1:91" s="50" customFormat="1" ht="12.75">
      <c r="A41" s="199"/>
      <c r="B41" s="157" t="s">
        <v>84</v>
      </c>
      <c r="C41" s="192" t="s">
        <v>260</v>
      </c>
      <c r="D41" s="208" t="s">
        <v>36</v>
      </c>
      <c r="E41" s="206" t="s">
        <v>50</v>
      </c>
      <c r="F41" s="161">
        <f t="shared" si="23"/>
        <v>0</v>
      </c>
      <c r="G41" s="161">
        <f t="shared" si="15"/>
        <v>0</v>
      </c>
      <c r="H41" s="25">
        <v>6739</v>
      </c>
      <c r="I41" s="149">
        <v>0.1</v>
      </c>
      <c r="J41" s="149">
        <v>0.2</v>
      </c>
      <c r="K41" s="149">
        <v>0.25</v>
      </c>
      <c r="L41" s="149">
        <v>0.4</v>
      </c>
      <c r="M41" s="150">
        <f t="shared" si="27"/>
        <v>13141.050000000001</v>
      </c>
      <c r="N41" s="243">
        <f t="shared" si="17"/>
        <v>13141</v>
      </c>
      <c r="O41" s="149"/>
      <c r="P41" s="245">
        <f t="shared" si="28"/>
        <v>0</v>
      </c>
      <c r="Q41" s="153">
        <f t="shared" si="18"/>
        <v>0</v>
      </c>
      <c r="R41" s="52"/>
      <c r="S41" s="52"/>
      <c r="T41" s="52"/>
      <c r="U41" s="153"/>
      <c r="V41" s="153"/>
      <c r="W41" s="153"/>
      <c r="X41" s="153">
        <f t="shared" si="19"/>
        <v>0</v>
      </c>
      <c r="Y41" s="164"/>
      <c r="Z41" s="153">
        <f t="shared" si="25"/>
        <v>0</v>
      </c>
      <c r="AA41" s="154"/>
      <c r="AB41" s="153">
        <f t="shared" si="26"/>
        <v>0</v>
      </c>
      <c r="AC41" s="52"/>
      <c r="AD41" s="79">
        <f t="shared" si="20"/>
        <v>0</v>
      </c>
      <c r="AE41" s="163">
        <f t="shared" si="21"/>
        <v>0</v>
      </c>
      <c r="AF41" s="153">
        <f t="shared" si="22"/>
        <v>0</v>
      </c>
      <c r="AG41" s="155"/>
      <c r="AI41" s="159"/>
      <c r="AJ41" s="159"/>
      <c r="AK41" s="159"/>
      <c r="AL41" s="155"/>
      <c r="AM41" s="155"/>
      <c r="AN41" s="155"/>
      <c r="AO41" s="155"/>
      <c r="AQ41" s="159"/>
      <c r="AR41" s="159"/>
      <c r="AS41" s="159"/>
      <c r="AT41" s="155"/>
      <c r="AU41" s="155"/>
      <c r="AV41" s="155"/>
      <c r="AW41" s="155"/>
      <c r="AY41" s="159"/>
      <c r="AZ41" s="159"/>
      <c r="BA41" s="159"/>
      <c r="BB41" s="155"/>
      <c r="BC41" s="155"/>
      <c r="BD41" s="155"/>
      <c r="BE41" s="155"/>
      <c r="BG41" s="159"/>
      <c r="BH41" s="159"/>
      <c r="BI41" s="159"/>
      <c r="BJ41" s="155"/>
      <c r="BK41" s="155"/>
      <c r="BL41" s="155"/>
      <c r="BM41" s="155"/>
      <c r="BO41" s="159"/>
      <c r="BP41" s="159"/>
      <c r="BQ41" s="168"/>
      <c r="BR41" s="159"/>
      <c r="BS41" s="159"/>
      <c r="BT41" s="159"/>
      <c r="BU41" s="159"/>
      <c r="BV41" s="159"/>
      <c r="BW41" s="159"/>
      <c r="BX41" s="159"/>
      <c r="BY41" s="168"/>
      <c r="BZ41" s="155"/>
      <c r="CB41" s="159"/>
      <c r="CC41" s="159"/>
      <c r="CD41" s="168"/>
      <c r="CE41" s="159"/>
      <c r="CF41" s="159"/>
      <c r="CG41" s="159"/>
      <c r="CH41" s="159"/>
      <c r="CI41" s="159"/>
      <c r="CJ41" s="159"/>
      <c r="CK41" s="159"/>
      <c r="CL41" s="168"/>
      <c r="CM41" s="155"/>
    </row>
    <row r="42" spans="1:91" s="50" customFormat="1" ht="12.75">
      <c r="A42" s="199"/>
      <c r="B42" s="157" t="s">
        <v>84</v>
      </c>
      <c r="C42" s="192" t="s">
        <v>264</v>
      </c>
      <c r="D42" s="208" t="s">
        <v>36</v>
      </c>
      <c r="E42" s="206" t="s">
        <v>230</v>
      </c>
      <c r="F42" s="161">
        <f t="shared" si="23"/>
        <v>0</v>
      </c>
      <c r="G42" s="161">
        <f t="shared" si="15"/>
        <v>0</v>
      </c>
      <c r="H42" s="25">
        <v>6739</v>
      </c>
      <c r="I42" s="149">
        <v>0.1</v>
      </c>
      <c r="J42" s="149">
        <v>0.1</v>
      </c>
      <c r="K42" s="149">
        <v>0.25</v>
      </c>
      <c r="L42" s="149"/>
      <c r="M42" s="150">
        <f t="shared" si="27"/>
        <v>9771.550000000001</v>
      </c>
      <c r="N42" s="243">
        <f t="shared" si="17"/>
        <v>9772</v>
      </c>
      <c r="O42" s="119"/>
      <c r="P42" s="245">
        <f t="shared" si="28"/>
        <v>0</v>
      </c>
      <c r="Q42" s="153">
        <f t="shared" si="18"/>
        <v>0</v>
      </c>
      <c r="R42" s="52"/>
      <c r="S42" s="52"/>
      <c r="T42" s="52"/>
      <c r="U42" s="153"/>
      <c r="V42" s="153"/>
      <c r="W42" s="153"/>
      <c r="X42" s="153">
        <f t="shared" si="19"/>
        <v>0</v>
      </c>
      <c r="Y42" s="164"/>
      <c r="Z42" s="153">
        <f t="shared" si="25"/>
        <v>0</v>
      </c>
      <c r="AA42" s="154"/>
      <c r="AB42" s="153">
        <f t="shared" si="26"/>
        <v>0</v>
      </c>
      <c r="AC42" s="52"/>
      <c r="AD42" s="79">
        <f t="shared" si="20"/>
        <v>0</v>
      </c>
      <c r="AE42" s="163">
        <f t="shared" si="21"/>
        <v>0</v>
      </c>
      <c r="AF42" s="153">
        <f t="shared" si="22"/>
        <v>0</v>
      </c>
      <c r="AG42" s="155"/>
      <c r="AI42" s="159"/>
      <c r="AJ42" s="159"/>
      <c r="AK42" s="159"/>
      <c r="AL42" s="155"/>
      <c r="AM42" s="155"/>
      <c r="AN42" s="159"/>
      <c r="AO42" s="159"/>
      <c r="AQ42" s="159"/>
      <c r="AR42" s="159"/>
      <c r="AS42" s="159"/>
      <c r="AT42" s="155"/>
      <c r="AU42" s="155"/>
      <c r="AV42" s="159"/>
      <c r="AW42" s="159"/>
      <c r="AY42" s="159"/>
      <c r="AZ42" s="159"/>
      <c r="BA42" s="159"/>
      <c r="BB42" s="155"/>
      <c r="BC42" s="155"/>
      <c r="BD42" s="159"/>
      <c r="BE42" s="159"/>
      <c r="BG42" s="159"/>
      <c r="BH42" s="159"/>
      <c r="BI42" s="159"/>
      <c r="BJ42" s="155"/>
      <c r="BK42" s="155"/>
      <c r="BL42" s="159"/>
      <c r="BM42" s="159"/>
      <c r="BO42" s="159"/>
      <c r="BP42" s="159"/>
      <c r="BQ42" s="168"/>
      <c r="BR42" s="159"/>
      <c r="BS42" s="159"/>
      <c r="BT42" s="159"/>
      <c r="BU42" s="159"/>
      <c r="BV42" s="159"/>
      <c r="BW42" s="159"/>
      <c r="BX42" s="159"/>
      <c r="BY42" s="168"/>
      <c r="BZ42" s="155"/>
      <c r="CB42" s="159"/>
      <c r="CC42" s="159"/>
      <c r="CD42" s="168"/>
      <c r="CE42" s="159"/>
      <c r="CF42" s="159"/>
      <c r="CG42" s="159"/>
      <c r="CH42" s="159"/>
      <c r="CI42" s="159"/>
      <c r="CJ42" s="159"/>
      <c r="CK42" s="159"/>
      <c r="CL42" s="168"/>
      <c r="CM42" s="155"/>
    </row>
    <row r="43" spans="1:91" s="129" customFormat="1" ht="12.75">
      <c r="A43" s="199"/>
      <c r="B43" s="157" t="s">
        <v>84</v>
      </c>
      <c r="C43" s="149" t="s">
        <v>254</v>
      </c>
      <c r="D43" s="208" t="s">
        <v>36</v>
      </c>
      <c r="E43" s="206" t="s">
        <v>50</v>
      </c>
      <c r="F43" s="161">
        <f t="shared" si="23"/>
        <v>0</v>
      </c>
      <c r="G43" s="161">
        <f t="shared" si="15"/>
        <v>0</v>
      </c>
      <c r="H43" s="25">
        <v>6739</v>
      </c>
      <c r="I43" s="149">
        <v>0.1</v>
      </c>
      <c r="J43" s="149">
        <v>0.1</v>
      </c>
      <c r="K43" s="149">
        <v>0.25</v>
      </c>
      <c r="L43" s="149">
        <v>0.4</v>
      </c>
      <c r="M43" s="150">
        <f t="shared" si="27"/>
        <v>12467.150000000001</v>
      </c>
      <c r="N43" s="243">
        <f t="shared" si="17"/>
        <v>12467</v>
      </c>
      <c r="O43" s="149"/>
      <c r="P43" s="245">
        <f t="shared" si="28"/>
        <v>0</v>
      </c>
      <c r="Q43" s="153">
        <f t="shared" si="18"/>
        <v>0</v>
      </c>
      <c r="R43" s="52"/>
      <c r="S43" s="52"/>
      <c r="T43" s="52"/>
      <c r="U43" s="153"/>
      <c r="V43" s="153"/>
      <c r="W43" s="153"/>
      <c r="X43" s="153">
        <f t="shared" si="19"/>
        <v>0</v>
      </c>
      <c r="Y43" s="164"/>
      <c r="Z43" s="153">
        <f t="shared" si="25"/>
        <v>0</v>
      </c>
      <c r="AA43" s="154"/>
      <c r="AB43" s="153">
        <f t="shared" si="26"/>
        <v>0</v>
      </c>
      <c r="AC43" s="52"/>
      <c r="AD43" s="79">
        <f t="shared" si="20"/>
        <v>0</v>
      </c>
      <c r="AE43" s="163">
        <f t="shared" si="21"/>
        <v>0</v>
      </c>
      <c r="AF43" s="153">
        <f t="shared" si="22"/>
        <v>0</v>
      </c>
      <c r="AG43" s="155"/>
      <c r="AI43" s="167"/>
      <c r="AJ43" s="167"/>
      <c r="AK43" s="167"/>
      <c r="AL43" s="170"/>
      <c r="AM43" s="170"/>
      <c r="AN43" s="167"/>
      <c r="AO43" s="167"/>
      <c r="AQ43" s="167"/>
      <c r="AR43" s="167"/>
      <c r="AS43" s="167"/>
      <c r="AT43" s="170"/>
      <c r="AU43" s="170"/>
      <c r="AV43" s="167"/>
      <c r="AW43" s="167"/>
      <c r="AY43" s="167"/>
      <c r="AZ43" s="167"/>
      <c r="BA43" s="167"/>
      <c r="BB43" s="170"/>
      <c r="BC43" s="170"/>
      <c r="BD43" s="167"/>
      <c r="BE43" s="167"/>
      <c r="BG43" s="167"/>
      <c r="BH43" s="167"/>
      <c r="BI43" s="167"/>
      <c r="BJ43" s="170"/>
      <c r="BK43" s="170"/>
      <c r="BL43" s="167"/>
      <c r="BM43" s="167"/>
      <c r="BO43" s="167"/>
      <c r="BP43" s="167"/>
      <c r="BQ43" s="268"/>
      <c r="BR43" s="167"/>
      <c r="BS43" s="167"/>
      <c r="BT43" s="167"/>
      <c r="BU43" s="167"/>
      <c r="BV43" s="167"/>
      <c r="BW43" s="167"/>
      <c r="BX43" s="167"/>
      <c r="BY43" s="268"/>
      <c r="BZ43" s="170"/>
      <c r="CB43" s="167"/>
      <c r="CC43" s="167"/>
      <c r="CD43" s="268"/>
      <c r="CE43" s="167"/>
      <c r="CF43" s="167"/>
      <c r="CG43" s="167"/>
      <c r="CH43" s="167"/>
      <c r="CI43" s="167"/>
      <c r="CJ43" s="167"/>
      <c r="CK43" s="167"/>
      <c r="CL43" s="268"/>
      <c r="CM43" s="170"/>
    </row>
    <row r="44" spans="1:91" s="50" customFormat="1" ht="12.75">
      <c r="A44" s="199"/>
      <c r="B44" s="157" t="s">
        <v>84</v>
      </c>
      <c r="C44" s="192" t="s">
        <v>251</v>
      </c>
      <c r="D44" s="208" t="s">
        <v>36</v>
      </c>
      <c r="E44" s="206" t="s">
        <v>51</v>
      </c>
      <c r="F44" s="161">
        <f t="shared" si="23"/>
        <v>0</v>
      </c>
      <c r="G44" s="161">
        <f t="shared" si="15"/>
        <v>0</v>
      </c>
      <c r="H44" s="25">
        <v>6739</v>
      </c>
      <c r="I44" s="149">
        <v>0.1</v>
      </c>
      <c r="J44" s="149">
        <v>0.2</v>
      </c>
      <c r="K44" s="149">
        <v>0.25</v>
      </c>
      <c r="L44" s="149">
        <v>0.8</v>
      </c>
      <c r="M44" s="150">
        <f t="shared" si="27"/>
        <v>15836.650000000001</v>
      </c>
      <c r="N44" s="243">
        <f t="shared" si="17"/>
        <v>15837</v>
      </c>
      <c r="O44" s="149"/>
      <c r="P44" s="245">
        <f t="shared" si="28"/>
        <v>0</v>
      </c>
      <c r="Q44" s="153">
        <f t="shared" si="18"/>
        <v>0</v>
      </c>
      <c r="R44" s="52"/>
      <c r="S44" s="52"/>
      <c r="T44" s="52"/>
      <c r="U44" s="153"/>
      <c r="V44" s="153"/>
      <c r="W44" s="153"/>
      <c r="X44" s="153">
        <f t="shared" si="19"/>
        <v>0</v>
      </c>
      <c r="Y44" s="164"/>
      <c r="Z44" s="153">
        <f t="shared" si="25"/>
        <v>0</v>
      </c>
      <c r="AA44" s="154"/>
      <c r="AB44" s="153">
        <f t="shared" si="26"/>
        <v>0</v>
      </c>
      <c r="AC44" s="52"/>
      <c r="AD44" s="79">
        <f t="shared" si="20"/>
        <v>0</v>
      </c>
      <c r="AE44" s="163">
        <f t="shared" si="21"/>
        <v>0</v>
      </c>
      <c r="AF44" s="153">
        <f t="shared" si="22"/>
        <v>0</v>
      </c>
      <c r="AG44" s="155"/>
      <c r="AI44" s="159"/>
      <c r="AJ44" s="159"/>
      <c r="AK44" s="159"/>
      <c r="AL44" s="155"/>
      <c r="AM44" s="155"/>
      <c r="AN44" s="159"/>
      <c r="AO44" s="159"/>
      <c r="AQ44" s="159"/>
      <c r="AR44" s="159"/>
      <c r="AS44" s="159"/>
      <c r="AT44" s="155"/>
      <c r="AU44" s="155"/>
      <c r="AV44" s="159"/>
      <c r="AW44" s="159"/>
      <c r="AY44" s="159"/>
      <c r="AZ44" s="159"/>
      <c r="BA44" s="159"/>
      <c r="BB44" s="155"/>
      <c r="BC44" s="155"/>
      <c r="BD44" s="159"/>
      <c r="BE44" s="159"/>
      <c r="BG44" s="159"/>
      <c r="BH44" s="159"/>
      <c r="BI44" s="159"/>
      <c r="BJ44" s="155"/>
      <c r="BK44" s="155"/>
      <c r="BL44" s="159"/>
      <c r="BM44" s="159"/>
      <c r="BO44" s="159"/>
      <c r="BP44" s="159"/>
      <c r="BQ44" s="168"/>
      <c r="BR44" s="159"/>
      <c r="BS44" s="159"/>
      <c r="BT44" s="159"/>
      <c r="BU44" s="159"/>
      <c r="BV44" s="159"/>
      <c r="BW44" s="159"/>
      <c r="BX44" s="159"/>
      <c r="BY44" s="168"/>
      <c r="BZ44" s="155"/>
      <c r="CB44" s="159"/>
      <c r="CC44" s="159"/>
      <c r="CD44" s="168"/>
      <c r="CE44" s="159"/>
      <c r="CF44" s="159"/>
      <c r="CG44" s="159"/>
      <c r="CH44" s="159"/>
      <c r="CI44" s="159"/>
      <c r="CJ44" s="159"/>
      <c r="CK44" s="159"/>
      <c r="CL44" s="168"/>
      <c r="CM44" s="155"/>
    </row>
    <row r="45" spans="1:91" s="129" customFormat="1" ht="12.75">
      <c r="A45" s="199"/>
      <c r="B45" s="157" t="s">
        <v>84</v>
      </c>
      <c r="C45" s="192" t="s">
        <v>258</v>
      </c>
      <c r="D45" s="208" t="s">
        <v>36</v>
      </c>
      <c r="E45" s="206" t="s">
        <v>50</v>
      </c>
      <c r="F45" s="161">
        <f t="shared" si="23"/>
        <v>0</v>
      </c>
      <c r="G45" s="161">
        <f t="shared" si="15"/>
        <v>0</v>
      </c>
      <c r="H45" s="25">
        <v>6739</v>
      </c>
      <c r="I45" s="149">
        <v>0.1</v>
      </c>
      <c r="J45" s="149">
        <v>0.3</v>
      </c>
      <c r="K45" s="149">
        <v>0.25</v>
      </c>
      <c r="L45" s="149">
        <v>0.4</v>
      </c>
      <c r="M45" s="150">
        <f t="shared" si="27"/>
        <v>13814.950000000003</v>
      </c>
      <c r="N45" s="243">
        <f t="shared" si="17"/>
        <v>13815</v>
      </c>
      <c r="O45" s="149"/>
      <c r="P45" s="245">
        <f t="shared" si="28"/>
        <v>0</v>
      </c>
      <c r="Q45" s="153">
        <f t="shared" si="18"/>
        <v>0</v>
      </c>
      <c r="R45" s="52"/>
      <c r="S45" s="52"/>
      <c r="T45" s="52"/>
      <c r="U45" s="153"/>
      <c r="V45" s="153"/>
      <c r="W45" s="153"/>
      <c r="X45" s="153">
        <f t="shared" si="19"/>
        <v>0</v>
      </c>
      <c r="Y45" s="164"/>
      <c r="Z45" s="153">
        <f t="shared" si="25"/>
        <v>0</v>
      </c>
      <c r="AA45" s="154"/>
      <c r="AB45" s="153">
        <f t="shared" si="26"/>
        <v>0</v>
      </c>
      <c r="AC45" s="52"/>
      <c r="AD45" s="79"/>
      <c r="AE45" s="163">
        <f t="shared" si="21"/>
        <v>0</v>
      </c>
      <c r="AF45" s="153">
        <f t="shared" si="22"/>
        <v>0</v>
      </c>
      <c r="AG45" s="155"/>
      <c r="AI45" s="167"/>
      <c r="AJ45" s="167"/>
      <c r="AK45" s="167"/>
      <c r="AL45" s="170"/>
      <c r="AM45" s="170"/>
      <c r="AN45" s="167"/>
      <c r="AO45" s="167"/>
      <c r="AQ45" s="167"/>
      <c r="AR45" s="167"/>
      <c r="AS45" s="167"/>
      <c r="AT45" s="170"/>
      <c r="AU45" s="170"/>
      <c r="AV45" s="167"/>
      <c r="AW45" s="167"/>
      <c r="AY45" s="167"/>
      <c r="AZ45" s="167"/>
      <c r="BA45" s="167"/>
      <c r="BB45" s="170"/>
      <c r="BC45" s="170"/>
      <c r="BD45" s="167"/>
      <c r="BE45" s="167"/>
      <c r="BG45" s="167"/>
      <c r="BH45" s="167"/>
      <c r="BI45" s="167"/>
      <c r="BJ45" s="170"/>
      <c r="BK45" s="170"/>
      <c r="BL45" s="167"/>
      <c r="BM45" s="167"/>
      <c r="BO45" s="167"/>
      <c r="BP45" s="167"/>
      <c r="BQ45" s="268"/>
      <c r="BR45" s="167"/>
      <c r="BS45" s="167"/>
      <c r="BT45" s="167"/>
      <c r="BU45" s="167"/>
      <c r="BV45" s="167"/>
      <c r="BW45" s="167"/>
      <c r="BX45" s="167"/>
      <c r="BY45" s="268"/>
      <c r="BZ45" s="170"/>
      <c r="CB45" s="167"/>
      <c r="CC45" s="167"/>
      <c r="CD45" s="268"/>
      <c r="CE45" s="167"/>
      <c r="CF45" s="167"/>
      <c r="CG45" s="167"/>
      <c r="CH45" s="167"/>
      <c r="CI45" s="167"/>
      <c r="CJ45" s="167"/>
      <c r="CK45" s="167"/>
      <c r="CL45" s="268"/>
      <c r="CM45" s="170"/>
    </row>
    <row r="46" spans="1:91" s="129" customFormat="1" ht="12.75">
      <c r="A46" s="199"/>
      <c r="B46" s="158" t="s">
        <v>84</v>
      </c>
      <c r="C46" s="192" t="s">
        <v>295</v>
      </c>
      <c r="D46" s="208" t="s">
        <v>36</v>
      </c>
      <c r="E46" s="206" t="s">
        <v>230</v>
      </c>
      <c r="F46" s="161">
        <f t="shared" si="23"/>
        <v>0</v>
      </c>
      <c r="G46" s="161">
        <f t="shared" si="15"/>
        <v>0</v>
      </c>
      <c r="H46" s="25">
        <v>6739</v>
      </c>
      <c r="I46" s="149">
        <v>0.1</v>
      </c>
      <c r="J46" s="149">
        <v>0.2</v>
      </c>
      <c r="K46" s="149">
        <v>0.25</v>
      </c>
      <c r="L46" s="149"/>
      <c r="M46" s="150">
        <f aca="true" t="shared" si="29" ref="M46:M54">H46*(1+I46+J46+K46+L46)</f>
        <v>10445.45</v>
      </c>
      <c r="N46" s="243">
        <f t="shared" si="17"/>
        <v>10445</v>
      </c>
      <c r="O46" s="149"/>
      <c r="P46" s="245">
        <f t="shared" si="28"/>
        <v>0</v>
      </c>
      <c r="Q46" s="153">
        <f t="shared" si="18"/>
        <v>0</v>
      </c>
      <c r="R46" s="52"/>
      <c r="S46" s="79"/>
      <c r="T46" s="52"/>
      <c r="U46" s="153"/>
      <c r="V46" s="153"/>
      <c r="W46" s="153"/>
      <c r="X46" s="153">
        <f t="shared" si="19"/>
        <v>0</v>
      </c>
      <c r="Y46" s="164"/>
      <c r="Z46" s="153">
        <f t="shared" si="25"/>
        <v>0</v>
      </c>
      <c r="AA46" s="154"/>
      <c r="AB46" s="153">
        <f t="shared" si="26"/>
        <v>0</v>
      </c>
      <c r="AC46" s="52"/>
      <c r="AD46" s="79">
        <f>P46/18*AC46</f>
        <v>0</v>
      </c>
      <c r="AE46" s="163">
        <f t="shared" si="21"/>
        <v>0</v>
      </c>
      <c r="AF46" s="153">
        <f t="shared" si="22"/>
        <v>0</v>
      </c>
      <c r="AG46" s="155"/>
      <c r="AI46" s="167"/>
      <c r="AJ46" s="167"/>
      <c r="AK46" s="167"/>
      <c r="AL46" s="170"/>
      <c r="AM46" s="170"/>
      <c r="AN46" s="167"/>
      <c r="AO46" s="167"/>
      <c r="AQ46" s="167"/>
      <c r="AR46" s="167"/>
      <c r="AS46" s="167"/>
      <c r="AT46" s="170"/>
      <c r="AU46" s="170"/>
      <c r="AV46" s="167"/>
      <c r="AW46" s="167"/>
      <c r="AY46" s="167"/>
      <c r="AZ46" s="167"/>
      <c r="BA46" s="167"/>
      <c r="BB46" s="170"/>
      <c r="BC46" s="170"/>
      <c r="BD46" s="167"/>
      <c r="BE46" s="167"/>
      <c r="BG46" s="167"/>
      <c r="BH46" s="167"/>
      <c r="BI46" s="167"/>
      <c r="BJ46" s="170"/>
      <c r="BK46" s="170"/>
      <c r="BL46" s="167"/>
      <c r="BM46" s="167"/>
      <c r="BO46" s="167"/>
      <c r="BP46" s="167"/>
      <c r="BQ46" s="268"/>
      <c r="BR46" s="167"/>
      <c r="BS46" s="167"/>
      <c r="BT46" s="167"/>
      <c r="BU46" s="167"/>
      <c r="BV46" s="167"/>
      <c r="BW46" s="167"/>
      <c r="BX46" s="167"/>
      <c r="BY46" s="268"/>
      <c r="BZ46" s="170"/>
      <c r="CB46" s="167"/>
      <c r="CC46" s="167"/>
      <c r="CD46" s="268"/>
      <c r="CE46" s="167"/>
      <c r="CF46" s="167"/>
      <c r="CG46" s="167"/>
      <c r="CH46" s="167"/>
      <c r="CI46" s="167"/>
      <c r="CJ46" s="167"/>
      <c r="CK46" s="167"/>
      <c r="CL46" s="268"/>
      <c r="CM46" s="170"/>
    </row>
    <row r="47" spans="1:91" s="50" customFormat="1" ht="12.75">
      <c r="A47" s="199"/>
      <c r="B47" s="157" t="s">
        <v>84</v>
      </c>
      <c r="C47" s="192" t="s">
        <v>265</v>
      </c>
      <c r="D47" s="208" t="s">
        <v>36</v>
      </c>
      <c r="E47" s="206" t="s">
        <v>230</v>
      </c>
      <c r="F47" s="161">
        <f t="shared" si="23"/>
        <v>0</v>
      </c>
      <c r="G47" s="161">
        <f t="shared" si="15"/>
        <v>0</v>
      </c>
      <c r="H47" s="25">
        <v>6739</v>
      </c>
      <c r="I47" s="149">
        <v>0.1</v>
      </c>
      <c r="J47" s="149">
        <v>0.2</v>
      </c>
      <c r="K47" s="149">
        <v>0.25</v>
      </c>
      <c r="L47" s="149"/>
      <c r="M47" s="150">
        <f t="shared" si="29"/>
        <v>10445.45</v>
      </c>
      <c r="N47" s="243">
        <f t="shared" si="17"/>
        <v>10445</v>
      </c>
      <c r="O47" s="149"/>
      <c r="P47" s="245">
        <f t="shared" si="28"/>
        <v>0</v>
      </c>
      <c r="Q47" s="153">
        <f t="shared" si="18"/>
        <v>0</v>
      </c>
      <c r="R47" s="52"/>
      <c r="S47" s="52"/>
      <c r="T47" s="52"/>
      <c r="U47" s="153"/>
      <c r="V47" s="153"/>
      <c r="W47" s="153"/>
      <c r="X47" s="153">
        <f t="shared" si="19"/>
        <v>0</v>
      </c>
      <c r="Y47" s="164"/>
      <c r="Z47" s="153">
        <f t="shared" si="25"/>
        <v>0</v>
      </c>
      <c r="AA47" s="154"/>
      <c r="AB47" s="153">
        <f t="shared" si="26"/>
        <v>0</v>
      </c>
      <c r="AC47" s="52"/>
      <c r="AD47" s="79">
        <f>P47/18*AC47</f>
        <v>0</v>
      </c>
      <c r="AE47" s="163">
        <f t="shared" si="21"/>
        <v>0</v>
      </c>
      <c r="AF47" s="153">
        <f t="shared" si="22"/>
        <v>0</v>
      </c>
      <c r="AG47" s="155"/>
      <c r="AI47" s="159"/>
      <c r="AJ47" s="159"/>
      <c r="AK47" s="159"/>
      <c r="AL47" s="155"/>
      <c r="AM47" s="155"/>
      <c r="AN47" s="159"/>
      <c r="AO47" s="159"/>
      <c r="AQ47" s="159"/>
      <c r="AR47" s="159"/>
      <c r="AS47" s="159"/>
      <c r="AT47" s="155"/>
      <c r="AU47" s="155"/>
      <c r="AV47" s="159"/>
      <c r="AW47" s="159"/>
      <c r="AY47" s="159"/>
      <c r="AZ47" s="159"/>
      <c r="BA47" s="159"/>
      <c r="BB47" s="155"/>
      <c r="BC47" s="155"/>
      <c r="BD47" s="159"/>
      <c r="BE47" s="159"/>
      <c r="BG47" s="159"/>
      <c r="BH47" s="159"/>
      <c r="BI47" s="159"/>
      <c r="BJ47" s="155"/>
      <c r="BK47" s="155"/>
      <c r="BL47" s="159"/>
      <c r="BM47" s="159"/>
      <c r="BO47" s="159"/>
      <c r="BP47" s="159"/>
      <c r="BQ47" s="168"/>
      <c r="BR47" s="159"/>
      <c r="BS47" s="159"/>
      <c r="BT47" s="159"/>
      <c r="BU47" s="159"/>
      <c r="BV47" s="159"/>
      <c r="BW47" s="159"/>
      <c r="BX47" s="159"/>
      <c r="BY47" s="168"/>
      <c r="BZ47" s="155"/>
      <c r="CB47" s="159"/>
      <c r="CC47" s="159"/>
      <c r="CD47" s="168"/>
      <c r="CE47" s="159"/>
      <c r="CF47" s="159"/>
      <c r="CG47" s="159"/>
      <c r="CH47" s="159"/>
      <c r="CI47" s="159"/>
      <c r="CJ47" s="159"/>
      <c r="CK47" s="159"/>
      <c r="CL47" s="168"/>
      <c r="CM47" s="155"/>
    </row>
    <row r="48" spans="1:91" s="50" customFormat="1" ht="12.75">
      <c r="A48" s="199"/>
      <c r="B48" s="157" t="s">
        <v>84</v>
      </c>
      <c r="C48" s="192" t="s">
        <v>299</v>
      </c>
      <c r="D48" s="208" t="s">
        <v>36</v>
      </c>
      <c r="E48" s="206" t="s">
        <v>50</v>
      </c>
      <c r="F48" s="161">
        <f t="shared" si="23"/>
        <v>0</v>
      </c>
      <c r="G48" s="161">
        <f t="shared" si="15"/>
        <v>0</v>
      </c>
      <c r="H48" s="25">
        <v>6739</v>
      </c>
      <c r="I48" s="149">
        <v>0.1</v>
      </c>
      <c r="J48" s="149">
        <v>0.2</v>
      </c>
      <c r="K48" s="149">
        <v>0.25</v>
      </c>
      <c r="L48" s="149">
        <v>0.4</v>
      </c>
      <c r="M48" s="150">
        <f t="shared" si="29"/>
        <v>13141.050000000001</v>
      </c>
      <c r="N48" s="243">
        <f>ROUND(M48,0)</f>
        <v>13141</v>
      </c>
      <c r="O48" s="149"/>
      <c r="P48" s="245">
        <f t="shared" si="28"/>
        <v>0</v>
      </c>
      <c r="Q48" s="153">
        <f t="shared" si="18"/>
        <v>0</v>
      </c>
      <c r="R48" s="52"/>
      <c r="S48" s="52"/>
      <c r="T48" s="52"/>
      <c r="U48" s="153"/>
      <c r="V48" s="153"/>
      <c r="W48" s="153"/>
      <c r="X48" s="153">
        <f t="shared" si="19"/>
        <v>0</v>
      </c>
      <c r="Y48" s="164"/>
      <c r="Z48" s="153">
        <f t="shared" si="25"/>
        <v>0</v>
      </c>
      <c r="AA48" s="154"/>
      <c r="AB48" s="153">
        <f t="shared" si="26"/>
        <v>0</v>
      </c>
      <c r="AC48" s="52"/>
      <c r="AD48" s="79"/>
      <c r="AE48" s="163">
        <f t="shared" si="21"/>
        <v>0</v>
      </c>
      <c r="AF48" s="153">
        <f t="shared" si="22"/>
        <v>0</v>
      </c>
      <c r="AG48" s="155"/>
      <c r="AI48" s="159"/>
      <c r="AJ48" s="159"/>
      <c r="AK48" s="159"/>
      <c r="AL48" s="155"/>
      <c r="AM48" s="155"/>
      <c r="AN48" s="159"/>
      <c r="AO48" s="159"/>
      <c r="AQ48" s="159"/>
      <c r="AR48" s="159"/>
      <c r="AS48" s="159"/>
      <c r="AT48" s="155"/>
      <c r="AU48" s="155"/>
      <c r="AV48" s="159"/>
      <c r="AW48" s="159"/>
      <c r="AY48" s="159"/>
      <c r="AZ48" s="159"/>
      <c r="BA48" s="159"/>
      <c r="BB48" s="155"/>
      <c r="BC48" s="155"/>
      <c r="BD48" s="159"/>
      <c r="BE48" s="159"/>
      <c r="BG48" s="159"/>
      <c r="BH48" s="159"/>
      <c r="BI48" s="159"/>
      <c r="BJ48" s="155"/>
      <c r="BK48" s="155"/>
      <c r="BL48" s="159"/>
      <c r="BM48" s="159"/>
      <c r="BO48" s="159"/>
      <c r="BP48" s="159"/>
      <c r="BQ48" s="168"/>
      <c r="BR48" s="159"/>
      <c r="BS48" s="159"/>
      <c r="BT48" s="159"/>
      <c r="BU48" s="159"/>
      <c r="BV48" s="159"/>
      <c r="BW48" s="159"/>
      <c r="BX48" s="159"/>
      <c r="BY48" s="168"/>
      <c r="BZ48" s="155"/>
      <c r="CB48" s="159"/>
      <c r="CC48" s="159"/>
      <c r="CD48" s="168"/>
      <c r="CE48" s="159"/>
      <c r="CF48" s="159"/>
      <c r="CG48" s="159"/>
      <c r="CH48" s="159"/>
      <c r="CI48" s="159"/>
      <c r="CJ48" s="159"/>
      <c r="CK48" s="159"/>
      <c r="CL48" s="168"/>
      <c r="CM48" s="155"/>
    </row>
    <row r="49" spans="1:91" s="50" customFormat="1" ht="12.75">
      <c r="A49" s="199"/>
      <c r="B49" s="157" t="s">
        <v>84</v>
      </c>
      <c r="C49" s="192" t="s">
        <v>231</v>
      </c>
      <c r="D49" s="208" t="s">
        <v>36</v>
      </c>
      <c r="E49" s="206" t="s">
        <v>50</v>
      </c>
      <c r="F49" s="161">
        <f t="shared" si="23"/>
        <v>0</v>
      </c>
      <c r="G49" s="161">
        <f t="shared" si="15"/>
        <v>0</v>
      </c>
      <c r="H49" s="25">
        <v>6739</v>
      </c>
      <c r="I49" s="149">
        <v>0.1</v>
      </c>
      <c r="J49" s="149">
        <v>0.3</v>
      </c>
      <c r="K49" s="149">
        <v>0.25</v>
      </c>
      <c r="L49" s="149">
        <v>0.4</v>
      </c>
      <c r="M49" s="150">
        <f t="shared" si="29"/>
        <v>13814.950000000003</v>
      </c>
      <c r="N49" s="243">
        <f>ROUND(M49,0)</f>
        <v>13815</v>
      </c>
      <c r="O49" s="149"/>
      <c r="P49" s="245">
        <f t="shared" si="28"/>
        <v>0</v>
      </c>
      <c r="Q49" s="153">
        <f t="shared" si="18"/>
        <v>0</v>
      </c>
      <c r="R49" s="52"/>
      <c r="S49" s="52"/>
      <c r="T49" s="52"/>
      <c r="U49" s="153"/>
      <c r="V49" s="153"/>
      <c r="W49" s="153"/>
      <c r="X49" s="153">
        <f t="shared" si="19"/>
        <v>0</v>
      </c>
      <c r="Y49" s="164"/>
      <c r="Z49" s="153">
        <f t="shared" si="25"/>
        <v>0</v>
      </c>
      <c r="AA49" s="154"/>
      <c r="AB49" s="153">
        <f t="shared" si="26"/>
        <v>0</v>
      </c>
      <c r="AC49" s="52"/>
      <c r="AD49" s="79"/>
      <c r="AE49" s="163">
        <f t="shared" si="21"/>
        <v>0</v>
      </c>
      <c r="AF49" s="153">
        <f t="shared" si="22"/>
        <v>0</v>
      </c>
      <c r="AG49" s="155"/>
      <c r="AI49" s="159"/>
      <c r="AJ49" s="159"/>
      <c r="AK49" s="159"/>
      <c r="AL49" s="155"/>
      <c r="AM49" s="155"/>
      <c r="AN49" s="159"/>
      <c r="AO49" s="159"/>
      <c r="AQ49" s="159"/>
      <c r="AR49" s="159"/>
      <c r="AS49" s="159"/>
      <c r="AT49" s="155"/>
      <c r="AU49" s="155"/>
      <c r="AV49" s="159"/>
      <c r="AW49" s="159"/>
      <c r="AY49" s="159"/>
      <c r="AZ49" s="159"/>
      <c r="BA49" s="159"/>
      <c r="BB49" s="155"/>
      <c r="BC49" s="155"/>
      <c r="BD49" s="159"/>
      <c r="BE49" s="159"/>
      <c r="BG49" s="159"/>
      <c r="BH49" s="159"/>
      <c r="BI49" s="159"/>
      <c r="BJ49" s="155"/>
      <c r="BK49" s="155"/>
      <c r="BL49" s="159"/>
      <c r="BM49" s="159"/>
      <c r="BO49" s="159"/>
      <c r="BP49" s="159"/>
      <c r="BQ49" s="168"/>
      <c r="BR49" s="159"/>
      <c r="BS49" s="159"/>
      <c r="BT49" s="159"/>
      <c r="BU49" s="159"/>
      <c r="BV49" s="159"/>
      <c r="BW49" s="159"/>
      <c r="BX49" s="159"/>
      <c r="BY49" s="168"/>
      <c r="BZ49" s="155"/>
      <c r="CB49" s="159"/>
      <c r="CC49" s="159"/>
      <c r="CD49" s="168"/>
      <c r="CE49" s="159"/>
      <c r="CF49" s="159"/>
      <c r="CG49" s="159"/>
      <c r="CH49" s="159"/>
      <c r="CI49" s="159"/>
      <c r="CJ49" s="159"/>
      <c r="CK49" s="159"/>
      <c r="CL49" s="168"/>
      <c r="CM49" s="155"/>
    </row>
    <row r="50" spans="1:91" s="50" customFormat="1" ht="12.75">
      <c r="A50" s="199"/>
      <c r="B50" s="157" t="s">
        <v>84</v>
      </c>
      <c r="C50" s="149" t="s">
        <v>256</v>
      </c>
      <c r="D50" s="208" t="s">
        <v>36</v>
      </c>
      <c r="E50" s="206" t="s">
        <v>230</v>
      </c>
      <c r="F50" s="161">
        <f t="shared" si="23"/>
        <v>0</v>
      </c>
      <c r="G50" s="161">
        <f t="shared" si="15"/>
        <v>0</v>
      </c>
      <c r="H50" s="25">
        <v>6739</v>
      </c>
      <c r="I50" s="149">
        <v>0.1</v>
      </c>
      <c r="J50" s="149">
        <v>0.1</v>
      </c>
      <c r="K50" s="149">
        <v>0.25</v>
      </c>
      <c r="L50" s="149"/>
      <c r="M50" s="150">
        <f t="shared" si="29"/>
        <v>9771.550000000001</v>
      </c>
      <c r="N50" s="243">
        <f>ROUND(M50,0)</f>
        <v>9772</v>
      </c>
      <c r="O50" s="149"/>
      <c r="P50" s="245">
        <f t="shared" si="28"/>
        <v>0</v>
      </c>
      <c r="Q50" s="153">
        <f t="shared" si="18"/>
        <v>0</v>
      </c>
      <c r="R50" s="52"/>
      <c r="S50" s="52"/>
      <c r="T50" s="52"/>
      <c r="U50" s="153"/>
      <c r="V50" s="153"/>
      <c r="W50" s="153"/>
      <c r="X50" s="153">
        <f t="shared" si="19"/>
        <v>0</v>
      </c>
      <c r="Y50" s="164"/>
      <c r="Z50" s="153">
        <f t="shared" si="25"/>
        <v>0</v>
      </c>
      <c r="AA50" s="154"/>
      <c r="AB50" s="153">
        <f t="shared" si="26"/>
        <v>0</v>
      </c>
      <c r="AC50" s="52"/>
      <c r="AD50" s="79"/>
      <c r="AE50" s="163">
        <f>Y50+AA50</f>
        <v>0</v>
      </c>
      <c r="AF50" s="153">
        <f>Z50+AB50+AD50</f>
        <v>0</v>
      </c>
      <c r="AG50" s="155"/>
      <c r="AI50" s="159"/>
      <c r="AJ50" s="159"/>
      <c r="AK50" s="159"/>
      <c r="AL50" s="155"/>
      <c r="AM50" s="155"/>
      <c r="AN50" s="159"/>
      <c r="AO50" s="159"/>
      <c r="AQ50" s="159"/>
      <c r="AR50" s="159"/>
      <c r="AS50" s="159"/>
      <c r="AT50" s="155"/>
      <c r="AU50" s="155"/>
      <c r="AV50" s="159"/>
      <c r="AW50" s="159"/>
      <c r="AY50" s="159"/>
      <c r="AZ50" s="159"/>
      <c r="BA50" s="159"/>
      <c r="BB50" s="155"/>
      <c r="BC50" s="155"/>
      <c r="BD50" s="159"/>
      <c r="BE50" s="159"/>
      <c r="BG50" s="159"/>
      <c r="BH50" s="159"/>
      <c r="BI50" s="159"/>
      <c r="BJ50" s="155"/>
      <c r="BK50" s="155"/>
      <c r="BL50" s="159"/>
      <c r="BM50" s="159"/>
      <c r="BO50" s="159"/>
      <c r="BP50" s="159"/>
      <c r="BQ50" s="168"/>
      <c r="BR50" s="159"/>
      <c r="BS50" s="159"/>
      <c r="BT50" s="159"/>
      <c r="BU50" s="159"/>
      <c r="BV50" s="159"/>
      <c r="BW50" s="159"/>
      <c r="BX50" s="159"/>
      <c r="BY50" s="168"/>
      <c r="BZ50" s="155"/>
      <c r="CB50" s="159"/>
      <c r="CC50" s="159"/>
      <c r="CD50" s="168"/>
      <c r="CE50" s="159"/>
      <c r="CF50" s="159"/>
      <c r="CG50" s="159"/>
      <c r="CH50" s="159"/>
      <c r="CI50" s="159"/>
      <c r="CJ50" s="159"/>
      <c r="CK50" s="159"/>
      <c r="CL50" s="168"/>
      <c r="CM50" s="155"/>
    </row>
    <row r="51" spans="1:91" s="50" customFormat="1" ht="12.75">
      <c r="A51" s="199"/>
      <c r="B51" s="157" t="s">
        <v>84</v>
      </c>
      <c r="C51" s="192" t="s">
        <v>286</v>
      </c>
      <c r="D51" s="208" t="s">
        <v>36</v>
      </c>
      <c r="E51" s="206" t="s">
        <v>51</v>
      </c>
      <c r="F51" s="161">
        <f t="shared" si="23"/>
        <v>0</v>
      </c>
      <c r="G51" s="161">
        <f t="shared" si="15"/>
        <v>0</v>
      </c>
      <c r="H51" s="25">
        <v>6739</v>
      </c>
      <c r="I51" s="149">
        <v>0.1</v>
      </c>
      <c r="J51" s="149">
        <v>0.3</v>
      </c>
      <c r="K51" s="149">
        <v>0.25</v>
      </c>
      <c r="L51" s="149">
        <v>0.8</v>
      </c>
      <c r="M51" s="150">
        <f t="shared" si="29"/>
        <v>16510.550000000003</v>
      </c>
      <c r="N51" s="243">
        <f t="shared" si="17"/>
        <v>16511</v>
      </c>
      <c r="O51" s="149"/>
      <c r="P51" s="245">
        <f t="shared" si="28"/>
        <v>0</v>
      </c>
      <c r="Q51" s="153">
        <f t="shared" si="18"/>
        <v>0</v>
      </c>
      <c r="R51" s="52"/>
      <c r="S51" s="52"/>
      <c r="T51" s="52"/>
      <c r="U51" s="153"/>
      <c r="V51" s="153"/>
      <c r="W51" s="153"/>
      <c r="X51" s="153">
        <f t="shared" si="19"/>
        <v>0</v>
      </c>
      <c r="Y51" s="164"/>
      <c r="Z51" s="153">
        <f t="shared" si="25"/>
        <v>0</v>
      </c>
      <c r="AA51" s="154"/>
      <c r="AB51" s="153">
        <f t="shared" si="26"/>
        <v>0</v>
      </c>
      <c r="AC51" s="52"/>
      <c r="AD51" s="79">
        <f>P51/18*AC51</f>
        <v>0</v>
      </c>
      <c r="AE51" s="163">
        <f t="shared" si="21"/>
        <v>0</v>
      </c>
      <c r="AF51" s="153">
        <f t="shared" si="22"/>
        <v>0</v>
      </c>
      <c r="AG51" s="155"/>
      <c r="AI51" s="159"/>
      <c r="AJ51" s="159"/>
      <c r="AK51" s="159"/>
      <c r="AL51" s="155"/>
      <c r="AM51" s="155"/>
      <c r="AN51" s="159"/>
      <c r="AO51" s="159"/>
      <c r="AQ51" s="159"/>
      <c r="AR51" s="159"/>
      <c r="AS51" s="159"/>
      <c r="AT51" s="155"/>
      <c r="AU51" s="155"/>
      <c r="AV51" s="159"/>
      <c r="AW51" s="159"/>
      <c r="AY51" s="159"/>
      <c r="AZ51" s="159"/>
      <c r="BA51" s="159"/>
      <c r="BB51" s="155"/>
      <c r="BC51" s="155"/>
      <c r="BD51" s="159"/>
      <c r="BE51" s="159"/>
      <c r="BG51" s="159"/>
      <c r="BH51" s="159"/>
      <c r="BI51" s="159"/>
      <c r="BJ51" s="155"/>
      <c r="BK51" s="155"/>
      <c r="BL51" s="159"/>
      <c r="BM51" s="159"/>
      <c r="BO51" s="159"/>
      <c r="BP51" s="159"/>
      <c r="BQ51" s="168"/>
      <c r="BR51" s="159"/>
      <c r="BS51" s="159"/>
      <c r="BT51" s="159"/>
      <c r="BU51" s="159"/>
      <c r="BV51" s="159"/>
      <c r="BW51" s="159"/>
      <c r="BX51" s="159"/>
      <c r="BY51" s="168"/>
      <c r="BZ51" s="155"/>
      <c r="CB51" s="159"/>
      <c r="CC51" s="159"/>
      <c r="CD51" s="168"/>
      <c r="CE51" s="159"/>
      <c r="CF51" s="159"/>
      <c r="CG51" s="159"/>
      <c r="CH51" s="159"/>
      <c r="CI51" s="159"/>
      <c r="CJ51" s="159"/>
      <c r="CK51" s="159"/>
      <c r="CL51" s="168"/>
      <c r="CM51" s="155"/>
    </row>
    <row r="52" spans="1:91" s="50" customFormat="1" ht="12.75">
      <c r="A52" s="199"/>
      <c r="B52" s="157" t="s">
        <v>84</v>
      </c>
      <c r="C52" s="192" t="s">
        <v>294</v>
      </c>
      <c r="D52" s="208" t="s">
        <v>36</v>
      </c>
      <c r="E52" s="206" t="s">
        <v>230</v>
      </c>
      <c r="F52" s="161">
        <f t="shared" si="23"/>
        <v>0</v>
      </c>
      <c r="G52" s="161">
        <f>F52/18</f>
        <v>0</v>
      </c>
      <c r="H52" s="25">
        <v>6739</v>
      </c>
      <c r="I52" s="149">
        <v>0.1</v>
      </c>
      <c r="J52" s="149">
        <v>0.1</v>
      </c>
      <c r="K52" s="149">
        <v>0.25</v>
      </c>
      <c r="L52" s="149"/>
      <c r="M52" s="150">
        <f>H52*(1+I52+J52+K52+L52)</f>
        <v>9771.550000000001</v>
      </c>
      <c r="N52" s="243">
        <f>ROUND(M52,0)</f>
        <v>9772</v>
      </c>
      <c r="O52" s="149"/>
      <c r="P52" s="245">
        <f>ROUND(N52*O52,2)</f>
        <v>0</v>
      </c>
      <c r="Q52" s="153">
        <f>AF52</f>
        <v>0</v>
      </c>
      <c r="R52" s="52"/>
      <c r="S52" s="52"/>
      <c r="T52" s="52"/>
      <c r="U52" s="153"/>
      <c r="V52" s="153"/>
      <c r="W52" s="153"/>
      <c r="X52" s="153">
        <f>Q52+S52+U52+V52+W52</f>
        <v>0</v>
      </c>
      <c r="Y52" s="276"/>
      <c r="Z52" s="153">
        <f>ROUND(P52/18*Y52,2)</f>
        <v>0</v>
      </c>
      <c r="AA52" s="154"/>
      <c r="AB52" s="153">
        <f>ROUND(P52/18*AA52,2)</f>
        <v>0</v>
      </c>
      <c r="AC52" s="52"/>
      <c r="AD52" s="79">
        <f>P52/18*AC52</f>
        <v>0</v>
      </c>
      <c r="AE52" s="163">
        <f>Y52+AA52</f>
        <v>0</v>
      </c>
      <c r="AF52" s="153">
        <f>Z52+AB52+AD52</f>
        <v>0</v>
      </c>
      <c r="AG52" s="155"/>
      <c r="AI52" s="159"/>
      <c r="AJ52" s="159"/>
      <c r="AK52" s="159"/>
      <c r="AL52" s="155"/>
      <c r="AM52" s="155"/>
      <c r="AN52" s="159"/>
      <c r="AO52" s="159"/>
      <c r="AQ52" s="159"/>
      <c r="AR52" s="159"/>
      <c r="AS52" s="159"/>
      <c r="AT52" s="155"/>
      <c r="AU52" s="155"/>
      <c r="AV52" s="159"/>
      <c r="AW52" s="159"/>
      <c r="AY52" s="159"/>
      <c r="AZ52" s="159"/>
      <c r="BA52" s="159"/>
      <c r="BB52" s="155"/>
      <c r="BC52" s="155"/>
      <c r="BD52" s="159"/>
      <c r="BE52" s="159"/>
      <c r="BG52" s="159"/>
      <c r="BH52" s="159"/>
      <c r="BI52" s="159"/>
      <c r="BJ52" s="155"/>
      <c r="BK52" s="155"/>
      <c r="BL52" s="159"/>
      <c r="BM52" s="159"/>
      <c r="BO52" s="159"/>
      <c r="BP52" s="159"/>
      <c r="BQ52" s="168"/>
      <c r="BR52" s="159"/>
      <c r="BS52" s="159"/>
      <c r="BT52" s="159"/>
      <c r="BU52" s="159"/>
      <c r="BV52" s="159"/>
      <c r="BW52" s="159"/>
      <c r="BX52" s="159"/>
      <c r="BY52" s="168"/>
      <c r="BZ52" s="155"/>
      <c r="CB52" s="159"/>
      <c r="CC52" s="159"/>
      <c r="CD52" s="168"/>
      <c r="CE52" s="159"/>
      <c r="CF52" s="159"/>
      <c r="CG52" s="159"/>
      <c r="CH52" s="159"/>
      <c r="CI52" s="159"/>
      <c r="CJ52" s="159"/>
      <c r="CK52" s="159"/>
      <c r="CL52" s="168"/>
      <c r="CM52" s="155"/>
    </row>
    <row r="53" spans="1:91" s="50" customFormat="1" ht="12.75">
      <c r="A53" s="199" t="s">
        <v>186</v>
      </c>
      <c r="B53" s="157" t="s">
        <v>84</v>
      </c>
      <c r="C53" s="149" t="s">
        <v>91</v>
      </c>
      <c r="D53" s="58" t="s">
        <v>36</v>
      </c>
      <c r="E53" s="206" t="s">
        <v>50</v>
      </c>
      <c r="F53" s="161">
        <f t="shared" si="23"/>
        <v>0</v>
      </c>
      <c r="G53" s="161">
        <f>F53/18</f>
        <v>0</v>
      </c>
      <c r="H53" s="25">
        <v>6739</v>
      </c>
      <c r="I53" s="149">
        <v>0.1</v>
      </c>
      <c r="J53" s="149">
        <v>0.2</v>
      </c>
      <c r="K53" s="149">
        <v>0.25</v>
      </c>
      <c r="L53" s="149">
        <v>0.4</v>
      </c>
      <c r="M53" s="150">
        <f>H53*(1+I53+J53+K53+L53)</f>
        <v>13141.050000000001</v>
      </c>
      <c r="N53" s="243">
        <f>ROUND(M53,0)</f>
        <v>13141</v>
      </c>
      <c r="O53" s="149"/>
      <c r="P53" s="245">
        <f>ROUND(N53*O53,2)</f>
        <v>0</v>
      </c>
      <c r="Q53" s="153">
        <f t="shared" si="18"/>
        <v>0</v>
      </c>
      <c r="R53" s="53"/>
      <c r="S53" s="65"/>
      <c r="T53" s="53"/>
      <c r="U53" s="153"/>
      <c r="V53" s="153"/>
      <c r="W53" s="153"/>
      <c r="X53" s="153">
        <f t="shared" si="19"/>
        <v>0</v>
      </c>
      <c r="Y53" s="277"/>
      <c r="Z53" s="153">
        <f t="shared" si="25"/>
        <v>0</v>
      </c>
      <c r="AA53" s="154"/>
      <c r="AB53" s="153">
        <f t="shared" si="26"/>
        <v>0</v>
      </c>
      <c r="AC53" s="65"/>
      <c r="AD53" s="65"/>
      <c r="AE53" s="163">
        <f>Y53+AA53</f>
        <v>0</v>
      </c>
      <c r="AF53" s="153">
        <f>Z53+AB53+AD53</f>
        <v>0</v>
      </c>
      <c r="AG53" s="155"/>
      <c r="AI53" s="159"/>
      <c r="AJ53" s="159"/>
      <c r="AK53" s="159"/>
      <c r="AL53" s="155"/>
      <c r="AM53" s="155"/>
      <c r="AN53" s="159"/>
      <c r="AO53" s="159"/>
      <c r="AQ53" s="159"/>
      <c r="AR53" s="159"/>
      <c r="AS53" s="159"/>
      <c r="AT53" s="155"/>
      <c r="AU53" s="155"/>
      <c r="AV53" s="159"/>
      <c r="AW53" s="159"/>
      <c r="AY53" s="159"/>
      <c r="AZ53" s="159"/>
      <c r="BA53" s="159"/>
      <c r="BB53" s="155"/>
      <c r="BC53" s="155"/>
      <c r="BD53" s="159"/>
      <c r="BE53" s="159"/>
      <c r="BG53" s="159"/>
      <c r="BH53" s="159"/>
      <c r="BI53" s="159"/>
      <c r="BJ53" s="155"/>
      <c r="BK53" s="155"/>
      <c r="BL53" s="159"/>
      <c r="BM53" s="159"/>
      <c r="BO53" s="159"/>
      <c r="BP53" s="159"/>
      <c r="BQ53" s="168"/>
      <c r="BR53" s="159"/>
      <c r="BS53" s="159"/>
      <c r="BT53" s="159"/>
      <c r="BU53" s="159"/>
      <c r="BV53" s="159"/>
      <c r="BW53" s="159"/>
      <c r="BX53" s="159"/>
      <c r="BY53" s="168"/>
      <c r="BZ53" s="155"/>
      <c r="CB53" s="159"/>
      <c r="CC53" s="159"/>
      <c r="CD53" s="168"/>
      <c r="CE53" s="159"/>
      <c r="CF53" s="159"/>
      <c r="CG53" s="159"/>
      <c r="CH53" s="159"/>
      <c r="CI53" s="159"/>
      <c r="CJ53" s="159"/>
      <c r="CK53" s="159"/>
      <c r="CL53" s="168"/>
      <c r="CM53" s="155"/>
    </row>
    <row r="54" spans="1:91" s="50" customFormat="1" ht="12.75">
      <c r="A54" s="199" t="s">
        <v>187</v>
      </c>
      <c r="B54" s="157" t="s">
        <v>84</v>
      </c>
      <c r="C54" s="149" t="s">
        <v>91</v>
      </c>
      <c r="D54" s="58" t="s">
        <v>36</v>
      </c>
      <c r="E54" s="206" t="s">
        <v>50</v>
      </c>
      <c r="F54" s="161">
        <f t="shared" si="23"/>
        <v>0</v>
      </c>
      <c r="G54" s="161">
        <f>F54/18</f>
        <v>0</v>
      </c>
      <c r="H54" s="25">
        <v>6739</v>
      </c>
      <c r="I54" s="149">
        <v>0.1</v>
      </c>
      <c r="J54" s="149">
        <v>0.2</v>
      </c>
      <c r="K54" s="149">
        <v>0.25</v>
      </c>
      <c r="L54" s="149">
        <v>0.4</v>
      </c>
      <c r="M54" s="150">
        <f t="shared" si="29"/>
        <v>13141.050000000001</v>
      </c>
      <c r="N54" s="243">
        <f t="shared" si="17"/>
        <v>13141</v>
      </c>
      <c r="O54" s="149"/>
      <c r="P54" s="245">
        <f t="shared" si="28"/>
        <v>0</v>
      </c>
      <c r="Q54" s="153">
        <f t="shared" si="18"/>
        <v>0</v>
      </c>
      <c r="R54" s="53"/>
      <c r="S54" s="65"/>
      <c r="T54" s="53"/>
      <c r="U54" s="153"/>
      <c r="V54" s="153"/>
      <c r="W54" s="153"/>
      <c r="X54" s="153">
        <f t="shared" si="19"/>
        <v>0</v>
      </c>
      <c r="Y54" s="163"/>
      <c r="Z54" s="153">
        <f t="shared" si="25"/>
        <v>0</v>
      </c>
      <c r="AA54" s="154"/>
      <c r="AB54" s="153">
        <f t="shared" si="26"/>
        <v>0</v>
      </c>
      <c r="AC54" s="65"/>
      <c r="AD54" s="65"/>
      <c r="AE54" s="163">
        <f>Y54+AA54</f>
        <v>0</v>
      </c>
      <c r="AF54" s="153">
        <f>Z54+AB54+AD54</f>
        <v>0</v>
      </c>
      <c r="AG54" s="155"/>
      <c r="AI54" s="159"/>
      <c r="AJ54" s="159"/>
      <c r="AK54" s="159"/>
      <c r="AL54" s="155"/>
      <c r="AM54" s="155"/>
      <c r="AN54" s="159"/>
      <c r="AO54" s="159"/>
      <c r="AQ54" s="159"/>
      <c r="AR54" s="159"/>
      <c r="AS54" s="159"/>
      <c r="AT54" s="155"/>
      <c r="AU54" s="155"/>
      <c r="AV54" s="159"/>
      <c r="AW54" s="159"/>
      <c r="AY54" s="159"/>
      <c r="AZ54" s="159"/>
      <c r="BA54" s="159"/>
      <c r="BB54" s="155"/>
      <c r="BC54" s="155"/>
      <c r="BD54" s="159"/>
      <c r="BE54" s="159"/>
      <c r="BG54" s="159"/>
      <c r="BH54" s="159"/>
      <c r="BI54" s="159"/>
      <c r="BJ54" s="155"/>
      <c r="BK54" s="155"/>
      <c r="BL54" s="159"/>
      <c r="BM54" s="159"/>
      <c r="BO54" s="159"/>
      <c r="BP54" s="159"/>
      <c r="BQ54" s="168"/>
      <c r="BR54" s="159"/>
      <c r="BS54" s="159"/>
      <c r="BT54" s="159"/>
      <c r="BU54" s="159"/>
      <c r="BV54" s="159"/>
      <c r="BW54" s="159"/>
      <c r="BX54" s="159"/>
      <c r="BY54" s="168"/>
      <c r="BZ54" s="155"/>
      <c r="CB54" s="159"/>
      <c r="CC54" s="159"/>
      <c r="CD54" s="168"/>
      <c r="CE54" s="159"/>
      <c r="CF54" s="159"/>
      <c r="CG54" s="159"/>
      <c r="CH54" s="159"/>
      <c r="CI54" s="159"/>
      <c r="CJ54" s="159"/>
      <c r="CK54" s="159"/>
      <c r="CL54" s="168"/>
      <c r="CM54" s="155"/>
    </row>
    <row r="55" spans="1:91" s="30" customFormat="1" ht="12.75">
      <c r="A55" s="297" t="s">
        <v>37</v>
      </c>
      <c r="B55" s="286" t="s">
        <v>84</v>
      </c>
      <c r="C55" s="298"/>
      <c r="D55" s="279"/>
      <c r="E55" s="299"/>
      <c r="F55" s="300">
        <f>SUM(F26:F54)</f>
        <v>0</v>
      </c>
      <c r="G55" s="300">
        <f>SUM(G26:G54)</f>
        <v>0</v>
      </c>
      <c r="H55" s="290"/>
      <c r="I55" s="301"/>
      <c r="J55" s="301"/>
      <c r="K55" s="301"/>
      <c r="L55" s="301"/>
      <c r="M55" s="302"/>
      <c r="N55" s="302"/>
      <c r="O55" s="301"/>
      <c r="P55" s="301"/>
      <c r="Q55" s="289">
        <f>SUM(Q26:Q54)</f>
        <v>0</v>
      </c>
      <c r="R55" s="290"/>
      <c r="S55" s="290"/>
      <c r="T55" s="290"/>
      <c r="U55" s="289">
        <f aca="true" t="shared" si="30" ref="U55:AF55">SUM(U26:U54)</f>
        <v>0</v>
      </c>
      <c r="V55" s="289">
        <f t="shared" si="30"/>
        <v>0</v>
      </c>
      <c r="W55" s="289">
        <f t="shared" si="30"/>
        <v>0</v>
      </c>
      <c r="X55" s="289">
        <f t="shared" si="30"/>
        <v>0</v>
      </c>
      <c r="Y55" s="303">
        <f t="shared" si="30"/>
        <v>0</v>
      </c>
      <c r="Z55" s="289">
        <f t="shared" si="30"/>
        <v>0</v>
      </c>
      <c r="AA55" s="304">
        <f t="shared" si="30"/>
        <v>0</v>
      </c>
      <c r="AB55" s="289">
        <f t="shared" si="30"/>
        <v>0</v>
      </c>
      <c r="AC55" s="305">
        <f t="shared" si="30"/>
        <v>0</v>
      </c>
      <c r="AD55" s="305">
        <f t="shared" si="30"/>
        <v>0</v>
      </c>
      <c r="AE55" s="303">
        <f t="shared" si="30"/>
        <v>0</v>
      </c>
      <c r="AF55" s="289">
        <f t="shared" si="30"/>
        <v>0</v>
      </c>
      <c r="AG55" s="305"/>
      <c r="AH55" s="169"/>
      <c r="AI55" s="168"/>
      <c r="AJ55" s="168"/>
      <c r="AK55" s="168"/>
      <c r="AL55" s="210"/>
      <c r="AM55" s="160"/>
      <c r="AN55" s="27"/>
      <c r="AO55" s="27"/>
      <c r="AQ55" s="27"/>
      <c r="AR55" s="27"/>
      <c r="AS55" s="27"/>
      <c r="AT55" s="160"/>
      <c r="AU55" s="160"/>
      <c r="AV55" s="27"/>
      <c r="AW55" s="27"/>
      <c r="AY55" s="27"/>
      <c r="AZ55" s="27"/>
      <c r="BA55" s="27"/>
      <c r="BB55" s="160"/>
      <c r="BC55" s="160"/>
      <c r="BD55" s="27"/>
      <c r="BE55" s="27"/>
      <c r="BG55" s="27"/>
      <c r="BH55" s="27"/>
      <c r="BI55" s="27"/>
      <c r="BJ55" s="160"/>
      <c r="BK55" s="160"/>
      <c r="BL55" s="27"/>
      <c r="BM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160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160"/>
    </row>
    <row r="56" spans="1:91" s="50" customFormat="1" ht="13.5" customHeight="1">
      <c r="A56" s="199"/>
      <c r="B56" s="157" t="s">
        <v>84</v>
      </c>
      <c r="C56" s="149" t="s">
        <v>247</v>
      </c>
      <c r="D56" s="58" t="s">
        <v>129</v>
      </c>
      <c r="E56" s="206" t="s">
        <v>50</v>
      </c>
      <c r="F56" s="161">
        <v>0.5</v>
      </c>
      <c r="G56" s="165">
        <v>0.5</v>
      </c>
      <c r="H56" s="25">
        <v>6739</v>
      </c>
      <c r="I56" s="149">
        <v>0.1</v>
      </c>
      <c r="J56" s="149">
        <v>0.3</v>
      </c>
      <c r="K56" s="149">
        <v>0.25</v>
      </c>
      <c r="L56" s="149">
        <v>0.4</v>
      </c>
      <c r="M56" s="150">
        <f>H56*(1+I56+J56+K56+L56)</f>
        <v>13814.950000000003</v>
      </c>
      <c r="N56" s="243">
        <f>ROUND(M56,0)</f>
        <v>13815</v>
      </c>
      <c r="O56" s="149"/>
      <c r="P56" s="245">
        <f>N56*O56</f>
        <v>0</v>
      </c>
      <c r="Q56" s="153">
        <f>ROUND(P56*G56,2)</f>
        <v>0</v>
      </c>
      <c r="R56" s="65"/>
      <c r="S56" s="65"/>
      <c r="T56" s="65" t="s">
        <v>159</v>
      </c>
      <c r="U56" s="153"/>
      <c r="V56" s="153"/>
      <c r="W56" s="153"/>
      <c r="X56" s="153">
        <f>Q56+S56+U56+V56+W56</f>
        <v>0</v>
      </c>
      <c r="Y56" s="163"/>
      <c r="Z56" s="153"/>
      <c r="AA56" s="154"/>
      <c r="AB56" s="153"/>
      <c r="AC56" s="166"/>
      <c r="AD56" s="166"/>
      <c r="AE56" s="163"/>
      <c r="AF56" s="153"/>
      <c r="AG56" s="159"/>
      <c r="AI56" s="159"/>
      <c r="AJ56" s="159"/>
      <c r="AK56" s="159"/>
      <c r="AL56" s="155"/>
      <c r="AM56" s="155"/>
      <c r="AN56" s="159"/>
      <c r="AO56" s="159"/>
      <c r="AQ56" s="159"/>
      <c r="AR56" s="159"/>
      <c r="AS56" s="159"/>
      <c r="AT56" s="155"/>
      <c r="AU56" s="155"/>
      <c r="AV56" s="159"/>
      <c r="AW56" s="159"/>
      <c r="AY56" s="159"/>
      <c r="AZ56" s="159"/>
      <c r="BA56" s="159"/>
      <c r="BB56" s="155"/>
      <c r="BC56" s="155"/>
      <c r="BD56" s="159"/>
      <c r="BE56" s="159"/>
      <c r="BG56" s="159"/>
      <c r="BH56" s="159"/>
      <c r="BI56" s="159"/>
      <c r="BJ56" s="155"/>
      <c r="BK56" s="155"/>
      <c r="BL56" s="159"/>
      <c r="BM56" s="159"/>
      <c r="BO56" s="159"/>
      <c r="BP56" s="159"/>
      <c r="BQ56" s="168"/>
      <c r="BR56" s="159"/>
      <c r="BS56" s="159"/>
      <c r="BT56" s="159"/>
      <c r="BU56" s="159"/>
      <c r="BV56" s="159"/>
      <c r="BW56" s="159"/>
      <c r="BX56" s="159"/>
      <c r="BY56" s="168"/>
      <c r="BZ56" s="155"/>
      <c r="CB56" s="159"/>
      <c r="CC56" s="159"/>
      <c r="CD56" s="168"/>
      <c r="CE56" s="159"/>
      <c r="CF56" s="159"/>
      <c r="CG56" s="159"/>
      <c r="CH56" s="159"/>
      <c r="CI56" s="159"/>
      <c r="CJ56" s="159"/>
      <c r="CK56" s="159"/>
      <c r="CL56" s="168"/>
      <c r="CM56" s="155"/>
    </row>
    <row r="57" spans="1:91" s="50" customFormat="1" ht="12.75">
      <c r="A57" s="199"/>
      <c r="B57" s="157" t="s">
        <v>157</v>
      </c>
      <c r="C57" s="149" t="s">
        <v>232</v>
      </c>
      <c r="D57" s="58" t="s">
        <v>129</v>
      </c>
      <c r="E57" s="206" t="s">
        <v>50</v>
      </c>
      <c r="F57" s="161">
        <v>1.5</v>
      </c>
      <c r="G57" s="161">
        <v>1.5</v>
      </c>
      <c r="H57" s="25">
        <v>6739</v>
      </c>
      <c r="I57" s="149">
        <v>0.1</v>
      </c>
      <c r="J57" s="149">
        <v>0.3</v>
      </c>
      <c r="K57" s="149">
        <v>0.25</v>
      </c>
      <c r="L57" s="149">
        <v>0.4</v>
      </c>
      <c r="M57" s="150">
        <f>H57*(1+I57+J57+K57+L57)</f>
        <v>13814.950000000003</v>
      </c>
      <c r="N57" s="243">
        <f>ROUND(M57,0)</f>
        <v>13815</v>
      </c>
      <c r="O57" s="149"/>
      <c r="P57" s="245">
        <f>N57*O57</f>
        <v>0</v>
      </c>
      <c r="Q57" s="153">
        <f>ROUND(P57*G57,2)</f>
        <v>0</v>
      </c>
      <c r="R57" s="65"/>
      <c r="S57" s="65"/>
      <c r="T57" s="65"/>
      <c r="U57" s="153"/>
      <c r="V57" s="153"/>
      <c r="W57" s="153"/>
      <c r="X57" s="153">
        <f>Q57+S57+U57+V57+W57</f>
        <v>0</v>
      </c>
      <c r="Y57" s="163"/>
      <c r="Z57" s="153"/>
      <c r="AA57" s="154"/>
      <c r="AB57" s="153"/>
      <c r="AC57" s="166"/>
      <c r="AD57" s="166"/>
      <c r="AE57" s="163"/>
      <c r="AF57" s="153"/>
      <c r="AG57" s="159"/>
      <c r="AI57" s="159"/>
      <c r="AJ57" s="159"/>
      <c r="AK57" s="159"/>
      <c r="AL57" s="155"/>
      <c r="AM57" s="155"/>
      <c r="AN57" s="159"/>
      <c r="AO57" s="159"/>
      <c r="AQ57" s="159"/>
      <c r="AR57" s="159"/>
      <c r="AS57" s="159"/>
      <c r="AT57" s="155"/>
      <c r="AU57" s="155"/>
      <c r="AV57" s="159"/>
      <c r="AW57" s="159"/>
      <c r="AY57" s="159"/>
      <c r="AZ57" s="159"/>
      <c r="BA57" s="159"/>
      <c r="BB57" s="155"/>
      <c r="BC57" s="155"/>
      <c r="BD57" s="159"/>
      <c r="BE57" s="159"/>
      <c r="BG57" s="159"/>
      <c r="BH57" s="159"/>
      <c r="BI57" s="159"/>
      <c r="BJ57" s="155"/>
      <c r="BK57" s="155"/>
      <c r="BL57" s="159"/>
      <c r="BM57" s="159"/>
      <c r="BO57" s="159"/>
      <c r="BP57" s="159"/>
      <c r="BQ57" s="168"/>
      <c r="BR57" s="159"/>
      <c r="BS57" s="159"/>
      <c r="BT57" s="159"/>
      <c r="BU57" s="159"/>
      <c r="BV57" s="159"/>
      <c r="BW57" s="159"/>
      <c r="BX57" s="159"/>
      <c r="BY57" s="168"/>
      <c r="BZ57" s="155"/>
      <c r="CB57" s="159"/>
      <c r="CC57" s="159"/>
      <c r="CD57" s="168"/>
      <c r="CE57" s="159"/>
      <c r="CF57" s="159"/>
      <c r="CG57" s="159"/>
      <c r="CH57" s="159"/>
      <c r="CI57" s="159"/>
      <c r="CJ57" s="159"/>
      <c r="CK57" s="159"/>
      <c r="CL57" s="168"/>
      <c r="CM57" s="155"/>
    </row>
    <row r="58" spans="1:91" s="50" customFormat="1" ht="12.75">
      <c r="A58" s="199"/>
      <c r="B58" s="157" t="s">
        <v>84</v>
      </c>
      <c r="C58" s="191" t="s">
        <v>261</v>
      </c>
      <c r="D58" s="58" t="s">
        <v>177</v>
      </c>
      <c r="E58" s="206" t="s">
        <v>50</v>
      </c>
      <c r="F58" s="161">
        <v>0.5</v>
      </c>
      <c r="G58" s="161">
        <v>0.5</v>
      </c>
      <c r="H58" s="25">
        <v>6739</v>
      </c>
      <c r="I58" s="149">
        <v>0.1</v>
      </c>
      <c r="J58" s="149">
        <v>0.2</v>
      </c>
      <c r="K58" s="149">
        <v>0.25</v>
      </c>
      <c r="L58" s="149">
        <v>0.4</v>
      </c>
      <c r="M58" s="150">
        <f>H58*(1+I58+J58+K58+L58)</f>
        <v>13141.050000000001</v>
      </c>
      <c r="N58" s="243">
        <f>ROUND(M58,0)</f>
        <v>13141</v>
      </c>
      <c r="O58" s="149"/>
      <c r="P58" s="245">
        <f>N58*O58</f>
        <v>0</v>
      </c>
      <c r="Q58" s="153">
        <f>ROUND(P58*G58,2)</f>
        <v>0</v>
      </c>
      <c r="R58" s="65"/>
      <c r="S58" s="65"/>
      <c r="T58" s="65"/>
      <c r="U58" s="153"/>
      <c r="V58" s="153"/>
      <c r="W58" s="153"/>
      <c r="X58" s="153">
        <f>Q58+S58+U58+V58+W58</f>
        <v>0</v>
      </c>
      <c r="Y58" s="163"/>
      <c r="Z58" s="153"/>
      <c r="AA58" s="154"/>
      <c r="AB58" s="153"/>
      <c r="AC58" s="166"/>
      <c r="AD58" s="166"/>
      <c r="AE58" s="163"/>
      <c r="AF58" s="153"/>
      <c r="AG58" s="159"/>
      <c r="AI58" s="159"/>
      <c r="AJ58" s="159"/>
      <c r="AK58" s="159"/>
      <c r="AL58" s="155"/>
      <c r="AM58" s="155"/>
      <c r="AN58" s="159"/>
      <c r="AO58" s="159"/>
      <c r="AQ58" s="159"/>
      <c r="AR58" s="159"/>
      <c r="AS58" s="159"/>
      <c r="AT58" s="155"/>
      <c r="AU58" s="155"/>
      <c r="AV58" s="159"/>
      <c r="AW58" s="159"/>
      <c r="AY58" s="159"/>
      <c r="AZ58" s="159"/>
      <c r="BA58" s="159"/>
      <c r="BB58" s="155"/>
      <c r="BC58" s="155"/>
      <c r="BD58" s="159"/>
      <c r="BE58" s="159"/>
      <c r="BG58" s="159"/>
      <c r="BH58" s="159"/>
      <c r="BI58" s="159"/>
      <c r="BJ58" s="155"/>
      <c r="BK58" s="155"/>
      <c r="BL58" s="159"/>
      <c r="BM58" s="159"/>
      <c r="BO58" s="159"/>
      <c r="BP58" s="159"/>
      <c r="BQ58" s="168"/>
      <c r="BR58" s="159"/>
      <c r="BS58" s="159"/>
      <c r="BT58" s="159"/>
      <c r="BU58" s="159"/>
      <c r="BV58" s="159"/>
      <c r="BW58" s="159"/>
      <c r="BX58" s="159"/>
      <c r="BY58" s="168"/>
      <c r="BZ58" s="155"/>
      <c r="CB58" s="159"/>
      <c r="CC58" s="159"/>
      <c r="CD58" s="168"/>
      <c r="CE58" s="159"/>
      <c r="CF58" s="159"/>
      <c r="CG58" s="159"/>
      <c r="CH58" s="159"/>
      <c r="CI58" s="159"/>
      <c r="CJ58" s="159"/>
      <c r="CK58" s="159"/>
      <c r="CL58" s="168"/>
      <c r="CM58" s="155"/>
    </row>
    <row r="59" spans="1:91" s="30" customFormat="1" ht="12.75">
      <c r="A59" s="297" t="s">
        <v>156</v>
      </c>
      <c r="B59" s="290" t="s">
        <v>84</v>
      </c>
      <c r="C59" s="301"/>
      <c r="D59" s="279"/>
      <c r="E59" s="299"/>
      <c r="F59" s="300">
        <f>SUM(F56:F58)</f>
        <v>2.5</v>
      </c>
      <c r="G59" s="300">
        <f>SUM(G56:G58)</f>
        <v>2.5</v>
      </c>
      <c r="H59" s="290"/>
      <c r="I59" s="301"/>
      <c r="J59" s="301"/>
      <c r="K59" s="301"/>
      <c r="L59" s="301"/>
      <c r="M59" s="302"/>
      <c r="N59" s="302"/>
      <c r="O59" s="301"/>
      <c r="P59" s="301"/>
      <c r="Q59" s="306">
        <f aca="true" t="shared" si="31" ref="Q59:V59">SUM(Q56:Q58)</f>
        <v>0</v>
      </c>
      <c r="R59" s="306">
        <f t="shared" si="31"/>
        <v>0</v>
      </c>
      <c r="S59" s="306">
        <f t="shared" si="31"/>
        <v>0</v>
      </c>
      <c r="T59" s="306">
        <f t="shared" si="31"/>
        <v>0</v>
      </c>
      <c r="U59" s="306">
        <f t="shared" si="31"/>
        <v>0</v>
      </c>
      <c r="V59" s="306">
        <f t="shared" si="31"/>
        <v>0</v>
      </c>
      <c r="W59" s="289"/>
      <c r="X59" s="289">
        <f>Q59+S59+U59</f>
        <v>0</v>
      </c>
      <c r="Y59" s="303"/>
      <c r="Z59" s="289">
        <f>P59/30*Y59</f>
        <v>0</v>
      </c>
      <c r="AA59" s="304"/>
      <c r="AB59" s="289"/>
      <c r="AC59" s="290"/>
      <c r="AD59" s="305"/>
      <c r="AE59" s="303">
        <v>0</v>
      </c>
      <c r="AF59" s="289">
        <f>Z59</f>
        <v>0</v>
      </c>
      <c r="AG59" s="27"/>
      <c r="AI59" s="27"/>
      <c r="AJ59" s="27"/>
      <c r="AK59" s="27"/>
      <c r="AL59" s="160"/>
      <c r="AM59" s="160"/>
      <c r="AN59" s="27"/>
      <c r="AO59" s="27"/>
      <c r="AQ59" s="27"/>
      <c r="AR59" s="27"/>
      <c r="AS59" s="27"/>
      <c r="AT59" s="160"/>
      <c r="AU59" s="160"/>
      <c r="AV59" s="27"/>
      <c r="AW59" s="27"/>
      <c r="AY59" s="27"/>
      <c r="AZ59" s="27"/>
      <c r="BA59" s="27"/>
      <c r="BB59" s="160"/>
      <c r="BC59" s="160"/>
      <c r="BD59" s="27"/>
      <c r="BE59" s="27"/>
      <c r="BG59" s="27"/>
      <c r="BH59" s="27"/>
      <c r="BI59" s="27"/>
      <c r="BJ59" s="160"/>
      <c r="BK59" s="160"/>
      <c r="BL59" s="27"/>
      <c r="BM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160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160"/>
    </row>
    <row r="60" spans="1:91" s="50" customFormat="1" ht="12.75">
      <c r="A60" s="199"/>
      <c r="B60" s="52" t="s">
        <v>84</v>
      </c>
      <c r="C60" s="149" t="s">
        <v>234</v>
      </c>
      <c r="D60" s="208" t="s">
        <v>52</v>
      </c>
      <c r="E60" s="206" t="s">
        <v>50</v>
      </c>
      <c r="F60" s="161"/>
      <c r="G60" s="161">
        <f aca="true" t="shared" si="32" ref="G60:G102">F60/30</f>
        <v>0</v>
      </c>
      <c r="H60" s="53">
        <v>6739</v>
      </c>
      <c r="I60" s="149">
        <v>0.1</v>
      </c>
      <c r="J60" s="149">
        <v>0.3</v>
      </c>
      <c r="K60" s="149">
        <v>0.07</v>
      </c>
      <c r="L60" s="149">
        <v>0.4</v>
      </c>
      <c r="M60" s="150">
        <f>H60*(1+I60+J60+K60+L60)</f>
        <v>12601.93</v>
      </c>
      <c r="N60" s="243">
        <f aca="true" t="shared" si="33" ref="N60:N102">ROUND(M60,0)</f>
        <v>12602</v>
      </c>
      <c r="O60" s="149"/>
      <c r="P60" s="245">
        <f aca="true" t="shared" si="34" ref="P60:P102">ROUND(N60*O60,2)</f>
        <v>0</v>
      </c>
      <c r="Q60" s="153">
        <f>ROUND(P60*G60,2)</f>
        <v>0</v>
      </c>
      <c r="R60" s="52"/>
      <c r="S60" s="79">
        <f aca="true" t="shared" si="35" ref="S60:S102">Q60*R60/100</f>
        <v>0</v>
      </c>
      <c r="T60" s="79"/>
      <c r="U60" s="153"/>
      <c r="V60" s="153"/>
      <c r="W60" s="153"/>
      <c r="X60" s="153">
        <f>Q60+S60+U60+V60+W60</f>
        <v>0</v>
      </c>
      <c r="Y60" s="164"/>
      <c r="Z60" s="153">
        <f aca="true" t="shared" si="36" ref="Z60:Z79">P60/30*Y60</f>
        <v>0</v>
      </c>
      <c r="AA60" s="154">
        <f>F60</f>
        <v>0</v>
      </c>
      <c r="AB60" s="153">
        <f>Q60</f>
        <v>0</v>
      </c>
      <c r="AC60" s="52"/>
      <c r="AD60" s="79"/>
      <c r="AE60" s="163">
        <f>Y60+AA60+AC60</f>
        <v>0</v>
      </c>
      <c r="AF60" s="153">
        <f>Z60+AB60+AD60</f>
        <v>0</v>
      </c>
      <c r="AG60" s="159"/>
      <c r="AI60" s="159"/>
      <c r="AJ60" s="159"/>
      <c r="AK60" s="159"/>
      <c r="AL60" s="155"/>
      <c r="AM60" s="155"/>
      <c r="AN60" s="159"/>
      <c r="AO60" s="159"/>
      <c r="AQ60" s="159"/>
      <c r="AR60" s="159"/>
      <c r="AS60" s="159"/>
      <c r="AT60" s="155"/>
      <c r="AU60" s="155"/>
      <c r="AV60" s="159"/>
      <c r="AW60" s="159"/>
      <c r="AY60" s="159"/>
      <c r="AZ60" s="159"/>
      <c r="BA60" s="159"/>
      <c r="BB60" s="155"/>
      <c r="BC60" s="155"/>
      <c r="BD60" s="159"/>
      <c r="BE60" s="159"/>
      <c r="BG60" s="159"/>
      <c r="BH60" s="159"/>
      <c r="BI60" s="159"/>
      <c r="BJ60" s="155"/>
      <c r="BK60" s="155"/>
      <c r="BL60" s="159"/>
      <c r="BM60" s="159"/>
      <c r="BO60" s="159"/>
      <c r="BP60" s="159"/>
      <c r="BQ60" s="168"/>
      <c r="BR60" s="159"/>
      <c r="BS60" s="159"/>
      <c r="BT60" s="159"/>
      <c r="BU60" s="159"/>
      <c r="BV60" s="159"/>
      <c r="BW60" s="159"/>
      <c r="BX60" s="159"/>
      <c r="BY60" s="168"/>
      <c r="BZ60" s="155"/>
      <c r="CB60" s="159"/>
      <c r="CC60" s="159"/>
      <c r="CD60" s="168"/>
      <c r="CE60" s="159"/>
      <c r="CF60" s="159"/>
      <c r="CG60" s="159"/>
      <c r="CH60" s="159"/>
      <c r="CI60" s="159"/>
      <c r="CJ60" s="159"/>
      <c r="CK60" s="159"/>
      <c r="CL60" s="168"/>
      <c r="CM60" s="155"/>
    </row>
    <row r="61" spans="1:91" s="50" customFormat="1" ht="12.75">
      <c r="A61" s="199"/>
      <c r="B61" s="52" t="s">
        <v>84</v>
      </c>
      <c r="C61" s="192" t="s">
        <v>298</v>
      </c>
      <c r="D61" s="208" t="s">
        <v>52</v>
      </c>
      <c r="E61" s="206" t="s">
        <v>50</v>
      </c>
      <c r="F61" s="161"/>
      <c r="G61" s="161">
        <f>F61/30</f>
        <v>0</v>
      </c>
      <c r="H61" s="53">
        <v>6739</v>
      </c>
      <c r="I61" s="149">
        <v>0.1</v>
      </c>
      <c r="J61" s="149">
        <v>0.1</v>
      </c>
      <c r="K61" s="149">
        <v>0.07</v>
      </c>
      <c r="L61" s="149">
        <v>0.4</v>
      </c>
      <c r="M61" s="150">
        <f>H61*(1+I61+J61+K61+L61)</f>
        <v>11254.130000000003</v>
      </c>
      <c r="N61" s="243">
        <f t="shared" si="33"/>
        <v>11254</v>
      </c>
      <c r="O61" s="149"/>
      <c r="P61" s="245">
        <f>ROUND(N61*O61,2)</f>
        <v>0</v>
      </c>
      <c r="Q61" s="153">
        <f aca="true" t="shared" si="37" ref="Q61:Q102">ROUND(P61*G61,2)</f>
        <v>0</v>
      </c>
      <c r="R61" s="52"/>
      <c r="S61" s="79">
        <f>Q61*R61/100</f>
        <v>0</v>
      </c>
      <c r="T61" s="79"/>
      <c r="U61" s="153"/>
      <c r="V61" s="153"/>
      <c r="W61" s="153"/>
      <c r="X61" s="153">
        <f aca="true" t="shared" si="38" ref="X61:X102">Q61+S61+U61+V61+W61</f>
        <v>0</v>
      </c>
      <c r="Y61" s="164"/>
      <c r="Z61" s="153"/>
      <c r="AA61" s="154">
        <f>F61</f>
        <v>0</v>
      </c>
      <c r="AB61" s="153">
        <f>Q61</f>
        <v>0</v>
      </c>
      <c r="AC61" s="52"/>
      <c r="AD61" s="79"/>
      <c r="AE61" s="163">
        <f>Y61+AA61+AC61</f>
        <v>0</v>
      </c>
      <c r="AF61" s="153">
        <f>Z61+AB61+AD61</f>
        <v>0</v>
      </c>
      <c r="AG61" s="159"/>
      <c r="AI61" s="159"/>
      <c r="AJ61" s="159"/>
      <c r="AK61" s="159"/>
      <c r="AL61" s="155"/>
      <c r="AM61" s="155"/>
      <c r="AN61" s="159"/>
      <c r="AO61" s="159"/>
      <c r="AQ61" s="159"/>
      <c r="AR61" s="159"/>
      <c r="AS61" s="159"/>
      <c r="AT61" s="155"/>
      <c r="AU61" s="155"/>
      <c r="AV61" s="159"/>
      <c r="AW61" s="159"/>
      <c r="AY61" s="159"/>
      <c r="AZ61" s="159"/>
      <c r="BA61" s="159"/>
      <c r="BB61" s="155"/>
      <c r="BC61" s="155"/>
      <c r="BD61" s="159"/>
      <c r="BE61" s="159"/>
      <c r="BG61" s="159"/>
      <c r="BH61" s="159"/>
      <c r="BI61" s="159"/>
      <c r="BJ61" s="155"/>
      <c r="BK61" s="155"/>
      <c r="BL61" s="159"/>
      <c r="BM61" s="159"/>
      <c r="BO61" s="159"/>
      <c r="BP61" s="159"/>
      <c r="BQ61" s="168"/>
      <c r="BR61" s="159"/>
      <c r="BS61" s="159"/>
      <c r="BT61" s="159"/>
      <c r="BU61" s="159"/>
      <c r="BV61" s="159"/>
      <c r="BW61" s="159"/>
      <c r="BX61" s="159"/>
      <c r="BY61" s="168"/>
      <c r="BZ61" s="155"/>
      <c r="CB61" s="159"/>
      <c r="CC61" s="159"/>
      <c r="CD61" s="168"/>
      <c r="CE61" s="159"/>
      <c r="CF61" s="159"/>
      <c r="CG61" s="159"/>
      <c r="CH61" s="159"/>
      <c r="CI61" s="159"/>
      <c r="CJ61" s="159"/>
      <c r="CK61" s="159"/>
      <c r="CL61" s="168"/>
      <c r="CM61" s="155"/>
    </row>
    <row r="62" spans="1:91" s="50" customFormat="1" ht="12.75">
      <c r="A62" s="199"/>
      <c r="B62" s="53" t="s">
        <v>84</v>
      </c>
      <c r="C62" s="191" t="s">
        <v>301</v>
      </c>
      <c r="D62" s="208" t="s">
        <v>38</v>
      </c>
      <c r="E62" s="206"/>
      <c r="F62" s="194"/>
      <c r="G62" s="161">
        <f t="shared" si="32"/>
        <v>0</v>
      </c>
      <c r="H62" s="53">
        <v>6739</v>
      </c>
      <c r="I62" s="149">
        <v>0.1</v>
      </c>
      <c r="J62" s="149">
        <v>0.2</v>
      </c>
      <c r="K62" s="149">
        <v>0.07</v>
      </c>
      <c r="L62" s="149"/>
      <c r="M62" s="150">
        <f>H62*(1+I62+J62+K62+L62)</f>
        <v>9232.43</v>
      </c>
      <c r="N62" s="243">
        <f t="shared" si="33"/>
        <v>9232</v>
      </c>
      <c r="O62" s="149"/>
      <c r="P62" s="245">
        <f t="shared" si="34"/>
        <v>0</v>
      </c>
      <c r="Q62" s="153">
        <f t="shared" si="37"/>
        <v>0</v>
      </c>
      <c r="R62" s="52"/>
      <c r="S62" s="79">
        <f t="shared" si="35"/>
        <v>0</v>
      </c>
      <c r="T62" s="79"/>
      <c r="U62" s="153"/>
      <c r="V62" s="153"/>
      <c r="W62" s="153"/>
      <c r="X62" s="153">
        <f t="shared" si="38"/>
        <v>0</v>
      </c>
      <c r="Y62" s="164"/>
      <c r="Z62" s="153">
        <f t="shared" si="36"/>
        <v>0</v>
      </c>
      <c r="AA62" s="154">
        <f aca="true" t="shared" si="39" ref="AA62:AA102">F62</f>
        <v>0</v>
      </c>
      <c r="AB62" s="153">
        <f aca="true" t="shared" si="40" ref="AB62:AB102">Q62</f>
        <v>0</v>
      </c>
      <c r="AC62" s="53"/>
      <c r="AD62" s="79"/>
      <c r="AE62" s="163">
        <f aca="true" t="shared" si="41" ref="AE62:AE102">Y62+AA62+AC62</f>
        <v>0</v>
      </c>
      <c r="AF62" s="153">
        <f aca="true" t="shared" si="42" ref="AF62:AF102">Z62+AB62+AD62</f>
        <v>0</v>
      </c>
      <c r="AG62" s="159"/>
      <c r="AI62" s="159"/>
      <c r="AJ62" s="159"/>
      <c r="AK62" s="159"/>
      <c r="AL62" s="159"/>
      <c r="AM62" s="159"/>
      <c r="AN62" s="159"/>
      <c r="AO62" s="159"/>
      <c r="AQ62" s="159"/>
      <c r="AR62" s="159"/>
      <c r="AS62" s="159"/>
      <c r="AT62" s="159"/>
      <c r="AU62" s="159"/>
      <c r="AV62" s="159"/>
      <c r="AW62" s="159"/>
      <c r="AY62" s="159"/>
      <c r="AZ62" s="159"/>
      <c r="BA62" s="159"/>
      <c r="BB62" s="159"/>
      <c r="BC62" s="159"/>
      <c r="BD62" s="159"/>
      <c r="BE62" s="159"/>
      <c r="BG62" s="159"/>
      <c r="BH62" s="159"/>
      <c r="BI62" s="159"/>
      <c r="BJ62" s="159"/>
      <c r="BK62" s="159"/>
      <c r="BL62" s="159"/>
      <c r="BM62" s="159"/>
      <c r="BO62" s="159"/>
      <c r="BP62" s="159"/>
      <c r="BQ62" s="168"/>
      <c r="BR62" s="159"/>
      <c r="BS62" s="159"/>
      <c r="BT62" s="159"/>
      <c r="BU62" s="159"/>
      <c r="BV62" s="159"/>
      <c r="BW62" s="159"/>
      <c r="BX62" s="159"/>
      <c r="BY62" s="168"/>
      <c r="BZ62" s="155"/>
      <c r="CB62" s="159"/>
      <c r="CC62" s="159"/>
      <c r="CD62" s="168"/>
      <c r="CE62" s="159"/>
      <c r="CF62" s="159"/>
      <c r="CG62" s="159"/>
      <c r="CH62" s="159"/>
      <c r="CI62" s="159"/>
      <c r="CJ62" s="159"/>
      <c r="CK62" s="159"/>
      <c r="CL62" s="168"/>
      <c r="CM62" s="155"/>
    </row>
    <row r="63" spans="1:91" s="129" customFormat="1" ht="12.75">
      <c r="A63" s="199"/>
      <c r="B63" s="53" t="s">
        <v>84</v>
      </c>
      <c r="C63" s="149" t="s">
        <v>273</v>
      </c>
      <c r="D63" s="208" t="s">
        <v>52</v>
      </c>
      <c r="E63" s="206" t="s">
        <v>230</v>
      </c>
      <c r="F63" s="194"/>
      <c r="G63" s="161">
        <f t="shared" si="32"/>
        <v>0</v>
      </c>
      <c r="H63" s="53">
        <v>6739</v>
      </c>
      <c r="I63" s="149">
        <v>0.1</v>
      </c>
      <c r="J63" s="149">
        <v>0.2</v>
      </c>
      <c r="K63" s="149">
        <v>0.07</v>
      </c>
      <c r="L63" s="149"/>
      <c r="M63" s="150">
        <f aca="true" t="shared" si="43" ref="M63:M89">H63*(1+I63+J63+K63+L63)</f>
        <v>9232.43</v>
      </c>
      <c r="N63" s="243">
        <f t="shared" si="33"/>
        <v>9232</v>
      </c>
      <c r="O63" s="149"/>
      <c r="P63" s="245">
        <f t="shared" si="34"/>
        <v>0</v>
      </c>
      <c r="Q63" s="153">
        <f t="shared" si="37"/>
        <v>0</v>
      </c>
      <c r="R63" s="52"/>
      <c r="S63" s="79">
        <f t="shared" si="35"/>
        <v>0</v>
      </c>
      <c r="T63" s="79"/>
      <c r="U63" s="153"/>
      <c r="V63" s="153"/>
      <c r="W63" s="153"/>
      <c r="X63" s="153">
        <f t="shared" si="38"/>
        <v>0</v>
      </c>
      <c r="Y63" s="164"/>
      <c r="Z63" s="153">
        <f t="shared" si="36"/>
        <v>0</v>
      </c>
      <c r="AA63" s="154">
        <f t="shared" si="39"/>
        <v>0</v>
      </c>
      <c r="AB63" s="153">
        <f t="shared" si="40"/>
        <v>0</v>
      </c>
      <c r="AC63" s="52"/>
      <c r="AD63" s="79"/>
      <c r="AE63" s="163">
        <f t="shared" si="41"/>
        <v>0</v>
      </c>
      <c r="AF63" s="153">
        <f t="shared" si="42"/>
        <v>0</v>
      </c>
      <c r="AG63" s="167"/>
      <c r="AI63" s="167"/>
      <c r="AJ63" s="167"/>
      <c r="AK63" s="167"/>
      <c r="AL63" s="167"/>
      <c r="AM63" s="167"/>
      <c r="AN63" s="167"/>
      <c r="AO63" s="167"/>
      <c r="AQ63" s="167"/>
      <c r="AR63" s="167"/>
      <c r="AS63" s="167"/>
      <c r="AT63" s="167"/>
      <c r="AU63" s="167"/>
      <c r="AV63" s="167"/>
      <c r="AW63" s="167"/>
      <c r="AY63" s="167"/>
      <c r="AZ63" s="167"/>
      <c r="BA63" s="167"/>
      <c r="BB63" s="167"/>
      <c r="BC63" s="167"/>
      <c r="BD63" s="167"/>
      <c r="BE63" s="167"/>
      <c r="BG63" s="167"/>
      <c r="BH63" s="167"/>
      <c r="BI63" s="167"/>
      <c r="BJ63" s="167"/>
      <c r="BK63" s="167"/>
      <c r="BL63" s="167"/>
      <c r="BM63" s="167"/>
      <c r="BO63" s="167"/>
      <c r="BP63" s="167"/>
      <c r="BQ63" s="268"/>
      <c r="BR63" s="167"/>
      <c r="BS63" s="167"/>
      <c r="BT63" s="167"/>
      <c r="BU63" s="167"/>
      <c r="BV63" s="167"/>
      <c r="BW63" s="167"/>
      <c r="BX63" s="167"/>
      <c r="BY63" s="268"/>
      <c r="BZ63" s="170"/>
      <c r="CB63" s="167"/>
      <c r="CC63" s="167"/>
      <c r="CD63" s="268"/>
      <c r="CE63" s="167"/>
      <c r="CF63" s="167"/>
      <c r="CG63" s="167"/>
      <c r="CH63" s="167"/>
      <c r="CI63" s="167"/>
      <c r="CJ63" s="167"/>
      <c r="CK63" s="167"/>
      <c r="CL63" s="268"/>
      <c r="CM63" s="170"/>
    </row>
    <row r="64" spans="1:91" s="50" customFormat="1" ht="12.75">
      <c r="A64" s="199"/>
      <c r="B64" s="53" t="s">
        <v>84</v>
      </c>
      <c r="C64" s="192" t="s">
        <v>300</v>
      </c>
      <c r="D64" s="208" t="s">
        <v>52</v>
      </c>
      <c r="E64" s="206" t="s">
        <v>230</v>
      </c>
      <c r="F64" s="194"/>
      <c r="G64" s="161">
        <f t="shared" si="32"/>
        <v>0</v>
      </c>
      <c r="H64" s="53">
        <v>6739</v>
      </c>
      <c r="I64" s="149">
        <v>0.1</v>
      </c>
      <c r="J64" s="149">
        <v>0.2</v>
      </c>
      <c r="K64" s="149">
        <v>0.07</v>
      </c>
      <c r="L64" s="149"/>
      <c r="M64" s="150">
        <f t="shared" si="43"/>
        <v>9232.43</v>
      </c>
      <c r="N64" s="243">
        <f t="shared" si="33"/>
        <v>9232</v>
      </c>
      <c r="O64" s="149"/>
      <c r="P64" s="245">
        <f t="shared" si="34"/>
        <v>0</v>
      </c>
      <c r="Q64" s="153">
        <f t="shared" si="37"/>
        <v>0</v>
      </c>
      <c r="R64" s="52"/>
      <c r="S64" s="79">
        <f t="shared" si="35"/>
        <v>0</v>
      </c>
      <c r="T64" s="79"/>
      <c r="U64" s="153"/>
      <c r="V64" s="153"/>
      <c r="W64" s="153"/>
      <c r="X64" s="153">
        <f t="shared" si="38"/>
        <v>0</v>
      </c>
      <c r="Y64" s="164"/>
      <c r="Z64" s="153">
        <f t="shared" si="36"/>
        <v>0</v>
      </c>
      <c r="AA64" s="154">
        <f t="shared" si="39"/>
        <v>0</v>
      </c>
      <c r="AB64" s="153">
        <f t="shared" si="40"/>
        <v>0</v>
      </c>
      <c r="AC64" s="52"/>
      <c r="AD64" s="79"/>
      <c r="AE64" s="163">
        <f t="shared" si="41"/>
        <v>0</v>
      </c>
      <c r="AF64" s="153">
        <f t="shared" si="42"/>
        <v>0</v>
      </c>
      <c r="AG64" s="155"/>
      <c r="AI64" s="159"/>
      <c r="AJ64" s="159"/>
      <c r="AK64" s="159"/>
      <c r="AL64" s="155"/>
      <c r="AM64" s="155"/>
      <c r="AN64" s="155"/>
      <c r="AO64" s="155"/>
      <c r="AQ64" s="159"/>
      <c r="AR64" s="159"/>
      <c r="AS64" s="159"/>
      <c r="AT64" s="155"/>
      <c r="AU64" s="155"/>
      <c r="AV64" s="155"/>
      <c r="AW64" s="155"/>
      <c r="AY64" s="159"/>
      <c r="AZ64" s="159"/>
      <c r="BA64" s="159"/>
      <c r="BB64" s="155"/>
      <c r="BC64" s="155"/>
      <c r="BD64" s="155"/>
      <c r="BE64" s="155"/>
      <c r="BG64" s="159"/>
      <c r="BH64" s="159"/>
      <c r="BI64" s="159"/>
      <c r="BJ64" s="155"/>
      <c r="BK64" s="155"/>
      <c r="BL64" s="155"/>
      <c r="BM64" s="155"/>
      <c r="BO64" s="159"/>
      <c r="BP64" s="159"/>
      <c r="BQ64" s="168"/>
      <c r="BR64" s="159"/>
      <c r="BS64" s="159"/>
      <c r="BT64" s="159"/>
      <c r="BU64" s="159"/>
      <c r="BV64" s="159"/>
      <c r="BW64" s="159"/>
      <c r="BX64" s="159"/>
      <c r="BY64" s="168"/>
      <c r="BZ64" s="155"/>
      <c r="CB64" s="159"/>
      <c r="CC64" s="159"/>
      <c r="CD64" s="168"/>
      <c r="CE64" s="159"/>
      <c r="CF64" s="159"/>
      <c r="CG64" s="159"/>
      <c r="CH64" s="159"/>
      <c r="CI64" s="159"/>
      <c r="CJ64" s="159"/>
      <c r="CK64" s="159"/>
      <c r="CL64" s="168"/>
      <c r="CM64" s="155"/>
    </row>
    <row r="65" spans="1:91" s="50" customFormat="1" ht="12.75">
      <c r="A65" s="199"/>
      <c r="B65" s="53" t="s">
        <v>84</v>
      </c>
      <c r="C65" s="192" t="s">
        <v>233</v>
      </c>
      <c r="D65" s="208" t="s">
        <v>52</v>
      </c>
      <c r="E65" s="206" t="s">
        <v>51</v>
      </c>
      <c r="F65" s="194"/>
      <c r="G65" s="161">
        <f t="shared" si="32"/>
        <v>0</v>
      </c>
      <c r="H65" s="53">
        <v>6739</v>
      </c>
      <c r="I65" s="149">
        <v>0.1</v>
      </c>
      <c r="J65" s="149">
        <v>0.3</v>
      </c>
      <c r="K65" s="149">
        <v>0.07</v>
      </c>
      <c r="L65" s="149">
        <v>0.8</v>
      </c>
      <c r="M65" s="150">
        <f t="shared" si="43"/>
        <v>15297.530000000002</v>
      </c>
      <c r="N65" s="243">
        <f t="shared" si="33"/>
        <v>15298</v>
      </c>
      <c r="O65" s="149"/>
      <c r="P65" s="245">
        <f t="shared" si="34"/>
        <v>0</v>
      </c>
      <c r="Q65" s="153">
        <f t="shared" si="37"/>
        <v>0</v>
      </c>
      <c r="R65" s="52"/>
      <c r="S65" s="79">
        <f t="shared" si="35"/>
        <v>0</v>
      </c>
      <c r="T65" s="79"/>
      <c r="U65" s="153"/>
      <c r="V65" s="153"/>
      <c r="W65" s="153"/>
      <c r="X65" s="153">
        <f t="shared" si="38"/>
        <v>0</v>
      </c>
      <c r="Y65" s="164"/>
      <c r="Z65" s="153">
        <f t="shared" si="36"/>
        <v>0</v>
      </c>
      <c r="AA65" s="154">
        <f t="shared" si="39"/>
        <v>0</v>
      </c>
      <c r="AB65" s="153">
        <f t="shared" si="40"/>
        <v>0</v>
      </c>
      <c r="AC65" s="52"/>
      <c r="AD65" s="79"/>
      <c r="AE65" s="163">
        <f t="shared" si="41"/>
        <v>0</v>
      </c>
      <c r="AF65" s="153">
        <f t="shared" si="42"/>
        <v>0</v>
      </c>
      <c r="AG65" s="155"/>
      <c r="AI65" s="159"/>
      <c r="AJ65" s="159"/>
      <c r="AK65" s="159"/>
      <c r="AL65" s="155"/>
      <c r="AM65" s="155"/>
      <c r="AN65" s="155"/>
      <c r="AO65" s="155"/>
      <c r="AQ65" s="159"/>
      <c r="AR65" s="159"/>
      <c r="AS65" s="159"/>
      <c r="AT65" s="155"/>
      <c r="AU65" s="155"/>
      <c r="AV65" s="155"/>
      <c r="AW65" s="155"/>
      <c r="AY65" s="159"/>
      <c r="AZ65" s="159"/>
      <c r="BA65" s="159"/>
      <c r="BB65" s="155"/>
      <c r="BC65" s="155"/>
      <c r="BD65" s="155"/>
      <c r="BE65" s="155"/>
      <c r="BG65" s="159"/>
      <c r="BH65" s="159"/>
      <c r="BI65" s="159"/>
      <c r="BJ65" s="155"/>
      <c r="BK65" s="155"/>
      <c r="BL65" s="155"/>
      <c r="BM65" s="155"/>
      <c r="BO65" s="159"/>
      <c r="BP65" s="159"/>
      <c r="BQ65" s="168"/>
      <c r="BR65" s="159"/>
      <c r="BS65" s="159"/>
      <c r="BT65" s="159"/>
      <c r="BU65" s="159"/>
      <c r="BV65" s="159"/>
      <c r="BW65" s="159"/>
      <c r="BX65" s="159"/>
      <c r="BY65" s="168"/>
      <c r="BZ65" s="155"/>
      <c r="CB65" s="159"/>
      <c r="CC65" s="159"/>
      <c r="CD65" s="168"/>
      <c r="CE65" s="159"/>
      <c r="CF65" s="159"/>
      <c r="CG65" s="159"/>
      <c r="CH65" s="159"/>
      <c r="CI65" s="159"/>
      <c r="CJ65" s="159"/>
      <c r="CK65" s="159"/>
      <c r="CL65" s="168"/>
      <c r="CM65" s="155"/>
    </row>
    <row r="66" spans="1:91" s="169" customFormat="1" ht="12.75">
      <c r="A66" s="199"/>
      <c r="B66" s="53" t="s">
        <v>84</v>
      </c>
      <c r="C66" s="192" t="s">
        <v>251</v>
      </c>
      <c r="D66" s="208" t="s">
        <v>52</v>
      </c>
      <c r="E66" s="206" t="s">
        <v>51</v>
      </c>
      <c r="F66" s="194"/>
      <c r="G66" s="161">
        <f t="shared" si="32"/>
        <v>0</v>
      </c>
      <c r="H66" s="53">
        <v>6739</v>
      </c>
      <c r="I66" s="149">
        <v>0.1</v>
      </c>
      <c r="J66" s="149">
        <v>0.2</v>
      </c>
      <c r="K66" s="149">
        <v>0.07</v>
      </c>
      <c r="L66" s="149">
        <v>0.8</v>
      </c>
      <c r="M66" s="150">
        <f t="shared" si="43"/>
        <v>14623.63</v>
      </c>
      <c r="N66" s="243">
        <f t="shared" si="33"/>
        <v>14624</v>
      </c>
      <c r="O66" s="149"/>
      <c r="P66" s="245">
        <f t="shared" si="34"/>
        <v>0</v>
      </c>
      <c r="Q66" s="153">
        <f t="shared" si="37"/>
        <v>0</v>
      </c>
      <c r="R66" s="52"/>
      <c r="S66" s="79">
        <f t="shared" si="35"/>
        <v>0</v>
      </c>
      <c r="T66" s="79"/>
      <c r="U66" s="153"/>
      <c r="V66" s="153"/>
      <c r="W66" s="153"/>
      <c r="X66" s="153">
        <f t="shared" si="38"/>
        <v>0</v>
      </c>
      <c r="Y66" s="164"/>
      <c r="Z66" s="153">
        <f t="shared" si="36"/>
        <v>0</v>
      </c>
      <c r="AA66" s="154">
        <f t="shared" si="39"/>
        <v>0</v>
      </c>
      <c r="AB66" s="153">
        <f t="shared" si="40"/>
        <v>0</v>
      </c>
      <c r="AC66" s="52"/>
      <c r="AD66" s="79"/>
      <c r="AE66" s="163">
        <f t="shared" si="41"/>
        <v>0</v>
      </c>
      <c r="AF66" s="153">
        <f t="shared" si="42"/>
        <v>0</v>
      </c>
      <c r="AG66" s="168"/>
      <c r="AI66" s="168"/>
      <c r="AJ66" s="168"/>
      <c r="AK66" s="168"/>
      <c r="AL66" s="210"/>
      <c r="AM66" s="210"/>
      <c r="AN66" s="168"/>
      <c r="AO66" s="168"/>
      <c r="AQ66" s="168"/>
      <c r="AR66" s="168"/>
      <c r="AS66" s="168"/>
      <c r="AT66" s="210"/>
      <c r="AU66" s="210"/>
      <c r="AV66" s="168"/>
      <c r="AW66" s="168"/>
      <c r="AY66" s="168"/>
      <c r="AZ66" s="168"/>
      <c r="BA66" s="168"/>
      <c r="BB66" s="210"/>
      <c r="BC66" s="210"/>
      <c r="BD66" s="168"/>
      <c r="BE66" s="168"/>
      <c r="BG66" s="168"/>
      <c r="BH66" s="168"/>
      <c r="BI66" s="168"/>
      <c r="BJ66" s="210"/>
      <c r="BK66" s="210"/>
      <c r="BL66" s="168"/>
      <c r="BM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210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210"/>
    </row>
    <row r="67" spans="1:91" s="50" customFormat="1" ht="12.75">
      <c r="A67" s="199"/>
      <c r="B67" s="53" t="s">
        <v>84</v>
      </c>
      <c r="C67" s="192" t="s">
        <v>265</v>
      </c>
      <c r="D67" s="208" t="s">
        <v>52</v>
      </c>
      <c r="E67" s="206" t="s">
        <v>230</v>
      </c>
      <c r="F67" s="194"/>
      <c r="G67" s="161">
        <f t="shared" si="32"/>
        <v>0</v>
      </c>
      <c r="H67" s="53">
        <v>6739</v>
      </c>
      <c r="I67" s="149">
        <v>0.1</v>
      </c>
      <c r="J67" s="149">
        <v>0.2</v>
      </c>
      <c r="K67" s="149">
        <v>0.07</v>
      </c>
      <c r="L67" s="149"/>
      <c r="M67" s="150">
        <f t="shared" si="43"/>
        <v>9232.43</v>
      </c>
      <c r="N67" s="243">
        <f t="shared" si="33"/>
        <v>9232</v>
      </c>
      <c r="O67" s="149"/>
      <c r="P67" s="245">
        <f t="shared" si="34"/>
        <v>0</v>
      </c>
      <c r="Q67" s="153">
        <f t="shared" si="37"/>
        <v>0</v>
      </c>
      <c r="R67" s="52"/>
      <c r="S67" s="79">
        <f t="shared" si="35"/>
        <v>0</v>
      </c>
      <c r="T67" s="79"/>
      <c r="U67" s="153"/>
      <c r="V67" s="153"/>
      <c r="W67" s="153"/>
      <c r="X67" s="153">
        <f t="shared" si="38"/>
        <v>0</v>
      </c>
      <c r="Y67" s="164"/>
      <c r="Z67" s="153">
        <f t="shared" si="36"/>
        <v>0</v>
      </c>
      <c r="AA67" s="154">
        <f t="shared" si="39"/>
        <v>0</v>
      </c>
      <c r="AB67" s="153">
        <f t="shared" si="40"/>
        <v>0</v>
      </c>
      <c r="AC67" s="52"/>
      <c r="AD67" s="79"/>
      <c r="AE67" s="163">
        <f t="shared" si="41"/>
        <v>0</v>
      </c>
      <c r="AF67" s="153">
        <f t="shared" si="42"/>
        <v>0</v>
      </c>
      <c r="AG67" s="159"/>
      <c r="AI67" s="159"/>
      <c r="AJ67" s="159"/>
      <c r="AK67" s="159"/>
      <c r="AL67" s="155"/>
      <c r="AM67" s="155"/>
      <c r="AN67" s="159"/>
      <c r="AO67" s="159"/>
      <c r="AQ67" s="159"/>
      <c r="AR67" s="159"/>
      <c r="AS67" s="159"/>
      <c r="AT67" s="155"/>
      <c r="AU67" s="155"/>
      <c r="AV67" s="159"/>
      <c r="AW67" s="159"/>
      <c r="AY67" s="159"/>
      <c r="AZ67" s="159"/>
      <c r="BA67" s="159"/>
      <c r="BB67" s="155"/>
      <c r="BC67" s="155"/>
      <c r="BD67" s="159"/>
      <c r="BE67" s="159"/>
      <c r="BG67" s="159"/>
      <c r="BH67" s="159"/>
      <c r="BI67" s="159"/>
      <c r="BJ67" s="155"/>
      <c r="BK67" s="155"/>
      <c r="BL67" s="159"/>
      <c r="BM67" s="159"/>
      <c r="BO67" s="159"/>
      <c r="BP67" s="159"/>
      <c r="BQ67" s="168"/>
      <c r="BR67" s="159"/>
      <c r="BS67" s="159"/>
      <c r="BT67" s="159"/>
      <c r="BU67" s="159"/>
      <c r="BV67" s="159"/>
      <c r="BW67" s="159"/>
      <c r="BX67" s="159"/>
      <c r="BY67" s="168"/>
      <c r="BZ67" s="155"/>
      <c r="CB67" s="159"/>
      <c r="CC67" s="159"/>
      <c r="CD67" s="168"/>
      <c r="CE67" s="159"/>
      <c r="CF67" s="159"/>
      <c r="CG67" s="159"/>
      <c r="CH67" s="159"/>
      <c r="CI67" s="159"/>
      <c r="CJ67" s="159"/>
      <c r="CK67" s="159"/>
      <c r="CL67" s="168"/>
      <c r="CM67" s="155"/>
    </row>
    <row r="68" spans="1:91" s="50" customFormat="1" ht="12.75">
      <c r="A68" s="199"/>
      <c r="B68" s="53" t="s">
        <v>84</v>
      </c>
      <c r="C68" s="192" t="s">
        <v>274</v>
      </c>
      <c r="D68" s="208" t="s">
        <v>52</v>
      </c>
      <c r="E68" s="206" t="s">
        <v>230</v>
      </c>
      <c r="F68" s="194"/>
      <c r="G68" s="161">
        <f t="shared" si="32"/>
        <v>0</v>
      </c>
      <c r="H68" s="53">
        <v>6739</v>
      </c>
      <c r="I68" s="149">
        <v>0.1</v>
      </c>
      <c r="J68" s="149">
        <v>0.1</v>
      </c>
      <c r="K68" s="149">
        <v>0.07</v>
      </c>
      <c r="L68" s="149"/>
      <c r="M68" s="150">
        <f t="shared" si="43"/>
        <v>8558.530000000002</v>
      </c>
      <c r="N68" s="243">
        <f t="shared" si="33"/>
        <v>8559</v>
      </c>
      <c r="O68" s="149"/>
      <c r="P68" s="245">
        <f t="shared" si="34"/>
        <v>0</v>
      </c>
      <c r="Q68" s="153">
        <f t="shared" si="37"/>
        <v>0</v>
      </c>
      <c r="R68" s="52"/>
      <c r="S68" s="79">
        <f t="shared" si="35"/>
        <v>0</v>
      </c>
      <c r="T68" s="79"/>
      <c r="U68" s="153"/>
      <c r="V68" s="153"/>
      <c r="W68" s="153"/>
      <c r="X68" s="153">
        <f t="shared" si="38"/>
        <v>0</v>
      </c>
      <c r="Y68" s="164"/>
      <c r="Z68" s="153">
        <f t="shared" si="36"/>
        <v>0</v>
      </c>
      <c r="AA68" s="154">
        <f t="shared" si="39"/>
        <v>0</v>
      </c>
      <c r="AB68" s="153">
        <f t="shared" si="40"/>
        <v>0</v>
      </c>
      <c r="AC68" s="52"/>
      <c r="AD68" s="79"/>
      <c r="AE68" s="163">
        <f t="shared" si="41"/>
        <v>0</v>
      </c>
      <c r="AF68" s="153">
        <f t="shared" si="42"/>
        <v>0</v>
      </c>
      <c r="AG68" s="155"/>
      <c r="AI68" s="159"/>
      <c r="AJ68" s="159"/>
      <c r="AK68" s="159"/>
      <c r="AL68" s="155"/>
      <c r="AM68" s="155"/>
      <c r="AN68" s="155"/>
      <c r="AO68" s="155"/>
      <c r="AQ68" s="159"/>
      <c r="AR68" s="159"/>
      <c r="AS68" s="159"/>
      <c r="AT68" s="155"/>
      <c r="AU68" s="155"/>
      <c r="AV68" s="155"/>
      <c r="AW68" s="155"/>
      <c r="AY68" s="159"/>
      <c r="AZ68" s="159"/>
      <c r="BA68" s="159"/>
      <c r="BB68" s="155"/>
      <c r="BC68" s="155"/>
      <c r="BD68" s="155"/>
      <c r="BE68" s="155"/>
      <c r="BG68" s="159"/>
      <c r="BH68" s="159"/>
      <c r="BI68" s="159"/>
      <c r="BJ68" s="155"/>
      <c r="BK68" s="155"/>
      <c r="BL68" s="155"/>
      <c r="BM68" s="155"/>
      <c r="BO68" s="159"/>
      <c r="BP68" s="159"/>
      <c r="BQ68" s="168"/>
      <c r="BR68" s="159"/>
      <c r="BS68" s="159"/>
      <c r="BT68" s="159"/>
      <c r="BU68" s="159"/>
      <c r="BV68" s="159"/>
      <c r="BW68" s="159"/>
      <c r="BX68" s="159"/>
      <c r="BY68" s="168"/>
      <c r="BZ68" s="155"/>
      <c r="CB68" s="159"/>
      <c r="CC68" s="159"/>
      <c r="CD68" s="168"/>
      <c r="CE68" s="159"/>
      <c r="CF68" s="159"/>
      <c r="CG68" s="159"/>
      <c r="CH68" s="159"/>
      <c r="CI68" s="159"/>
      <c r="CJ68" s="159"/>
      <c r="CK68" s="159"/>
      <c r="CL68" s="168"/>
      <c r="CM68" s="155"/>
    </row>
    <row r="69" spans="1:91" s="50" customFormat="1" ht="12.75">
      <c r="A69" s="199"/>
      <c r="B69" s="53" t="s">
        <v>276</v>
      </c>
      <c r="C69" s="192" t="s">
        <v>275</v>
      </c>
      <c r="D69" s="208" t="s">
        <v>52</v>
      </c>
      <c r="E69" s="206"/>
      <c r="F69" s="194"/>
      <c r="G69" s="161">
        <f t="shared" si="32"/>
        <v>0</v>
      </c>
      <c r="H69" s="53">
        <v>6739</v>
      </c>
      <c r="I69" s="149"/>
      <c r="J69" s="149">
        <v>0.1</v>
      </c>
      <c r="K69" s="149">
        <v>0.07</v>
      </c>
      <c r="L69" s="149"/>
      <c r="M69" s="150">
        <f t="shared" si="43"/>
        <v>7884.630000000001</v>
      </c>
      <c r="N69" s="243">
        <f t="shared" si="33"/>
        <v>7885</v>
      </c>
      <c r="O69" s="119"/>
      <c r="P69" s="245">
        <f t="shared" si="34"/>
        <v>0</v>
      </c>
      <c r="Q69" s="153">
        <f t="shared" si="37"/>
        <v>0</v>
      </c>
      <c r="R69" s="52"/>
      <c r="S69" s="79">
        <f t="shared" si="35"/>
        <v>0</v>
      </c>
      <c r="T69" s="79"/>
      <c r="U69" s="153"/>
      <c r="V69" s="153"/>
      <c r="W69" s="153"/>
      <c r="X69" s="153">
        <f t="shared" si="38"/>
        <v>0</v>
      </c>
      <c r="Y69" s="164"/>
      <c r="Z69" s="153">
        <f t="shared" si="36"/>
        <v>0</v>
      </c>
      <c r="AA69" s="154">
        <f t="shared" si="39"/>
        <v>0</v>
      </c>
      <c r="AB69" s="153">
        <f t="shared" si="40"/>
        <v>0</v>
      </c>
      <c r="AC69" s="52"/>
      <c r="AD69" s="79"/>
      <c r="AE69" s="163">
        <f t="shared" si="41"/>
        <v>0</v>
      </c>
      <c r="AF69" s="153">
        <f t="shared" si="42"/>
        <v>0</v>
      </c>
      <c r="AG69" s="155"/>
      <c r="AI69" s="159"/>
      <c r="AJ69" s="159"/>
      <c r="AK69" s="159"/>
      <c r="AL69" s="155"/>
      <c r="AM69" s="155"/>
      <c r="AN69" s="155"/>
      <c r="AO69" s="155"/>
      <c r="AQ69" s="159"/>
      <c r="AR69" s="159"/>
      <c r="AS69" s="159"/>
      <c r="AT69" s="155"/>
      <c r="AU69" s="155"/>
      <c r="AV69" s="155"/>
      <c r="AW69" s="155"/>
      <c r="AY69" s="159"/>
      <c r="AZ69" s="159"/>
      <c r="BA69" s="159"/>
      <c r="BB69" s="155"/>
      <c r="BC69" s="155"/>
      <c r="BD69" s="155"/>
      <c r="BE69" s="155"/>
      <c r="BG69" s="159"/>
      <c r="BH69" s="159"/>
      <c r="BI69" s="159"/>
      <c r="BJ69" s="155"/>
      <c r="BK69" s="155"/>
      <c r="BL69" s="155"/>
      <c r="BM69" s="155"/>
      <c r="BO69" s="159"/>
      <c r="BP69" s="159"/>
      <c r="BQ69" s="168"/>
      <c r="BR69" s="159"/>
      <c r="BS69" s="159"/>
      <c r="BT69" s="159"/>
      <c r="BU69" s="159"/>
      <c r="BV69" s="159"/>
      <c r="BW69" s="159"/>
      <c r="BX69" s="159"/>
      <c r="BY69" s="168"/>
      <c r="BZ69" s="155"/>
      <c r="CB69" s="159"/>
      <c r="CC69" s="159"/>
      <c r="CD69" s="168"/>
      <c r="CE69" s="159"/>
      <c r="CF69" s="159"/>
      <c r="CG69" s="159"/>
      <c r="CH69" s="159"/>
      <c r="CI69" s="159"/>
      <c r="CJ69" s="159"/>
      <c r="CK69" s="159"/>
      <c r="CL69" s="168"/>
      <c r="CM69" s="155"/>
    </row>
    <row r="70" spans="1:91" s="50" customFormat="1" ht="12.75">
      <c r="A70" s="199"/>
      <c r="B70" s="52" t="s">
        <v>277</v>
      </c>
      <c r="C70" s="192" t="s">
        <v>278</v>
      </c>
      <c r="D70" s="208" t="s">
        <v>52</v>
      </c>
      <c r="E70" s="206"/>
      <c r="F70" s="194"/>
      <c r="G70" s="161">
        <f t="shared" si="32"/>
        <v>0</v>
      </c>
      <c r="H70" s="53">
        <v>6739</v>
      </c>
      <c r="I70" s="149">
        <v>0.1</v>
      </c>
      <c r="J70" s="149">
        <v>0.1</v>
      </c>
      <c r="K70" s="149">
        <v>0.07</v>
      </c>
      <c r="L70" s="149"/>
      <c r="M70" s="150">
        <f t="shared" si="43"/>
        <v>8558.530000000002</v>
      </c>
      <c r="N70" s="243">
        <f t="shared" si="33"/>
        <v>8559</v>
      </c>
      <c r="O70" s="149"/>
      <c r="P70" s="245">
        <f t="shared" si="34"/>
        <v>0</v>
      </c>
      <c r="Q70" s="153">
        <f t="shared" si="37"/>
        <v>0</v>
      </c>
      <c r="R70" s="52"/>
      <c r="S70" s="79">
        <f t="shared" si="35"/>
        <v>0</v>
      </c>
      <c r="T70" s="79"/>
      <c r="U70" s="153"/>
      <c r="V70" s="153"/>
      <c r="W70" s="153"/>
      <c r="X70" s="153">
        <f t="shared" si="38"/>
        <v>0</v>
      </c>
      <c r="Y70" s="164"/>
      <c r="Z70" s="153">
        <f t="shared" si="36"/>
        <v>0</v>
      </c>
      <c r="AA70" s="154">
        <f t="shared" si="39"/>
        <v>0</v>
      </c>
      <c r="AB70" s="153">
        <f t="shared" si="40"/>
        <v>0</v>
      </c>
      <c r="AC70" s="52"/>
      <c r="AD70" s="79"/>
      <c r="AE70" s="163">
        <f t="shared" si="41"/>
        <v>0</v>
      </c>
      <c r="AF70" s="153">
        <f t="shared" si="42"/>
        <v>0</v>
      </c>
      <c r="AG70" s="155"/>
      <c r="AI70" s="159"/>
      <c r="AJ70" s="159"/>
      <c r="AK70" s="159"/>
      <c r="AL70" s="155"/>
      <c r="AM70" s="155"/>
      <c r="AN70" s="155"/>
      <c r="AO70" s="155"/>
      <c r="AQ70" s="159"/>
      <c r="AR70" s="159"/>
      <c r="AS70" s="159"/>
      <c r="AT70" s="155"/>
      <c r="AU70" s="155"/>
      <c r="AV70" s="155"/>
      <c r="AW70" s="155"/>
      <c r="AY70" s="159"/>
      <c r="AZ70" s="159"/>
      <c r="BA70" s="159"/>
      <c r="BB70" s="155"/>
      <c r="BC70" s="155"/>
      <c r="BD70" s="155"/>
      <c r="BE70" s="155"/>
      <c r="BG70" s="159"/>
      <c r="BH70" s="159"/>
      <c r="BI70" s="159"/>
      <c r="BJ70" s="155"/>
      <c r="BK70" s="155"/>
      <c r="BL70" s="155"/>
      <c r="BM70" s="155"/>
      <c r="BO70" s="159"/>
      <c r="BP70" s="159"/>
      <c r="BQ70" s="168"/>
      <c r="BR70" s="159"/>
      <c r="BS70" s="159"/>
      <c r="BT70" s="159"/>
      <c r="BU70" s="159"/>
      <c r="BV70" s="159"/>
      <c r="BW70" s="159"/>
      <c r="BX70" s="159"/>
      <c r="BY70" s="168"/>
      <c r="BZ70" s="155"/>
      <c r="CB70" s="159"/>
      <c r="CC70" s="159"/>
      <c r="CD70" s="168"/>
      <c r="CE70" s="159"/>
      <c r="CF70" s="159"/>
      <c r="CG70" s="159"/>
      <c r="CH70" s="159"/>
      <c r="CI70" s="159"/>
      <c r="CJ70" s="159"/>
      <c r="CK70" s="159"/>
      <c r="CL70" s="168"/>
      <c r="CM70" s="155"/>
    </row>
    <row r="71" spans="1:91" s="50" customFormat="1" ht="12.75">
      <c r="A71" s="199"/>
      <c r="B71" s="52" t="s">
        <v>84</v>
      </c>
      <c r="C71" s="192" t="s">
        <v>237</v>
      </c>
      <c r="D71" s="208" t="s">
        <v>52</v>
      </c>
      <c r="E71" s="206" t="s">
        <v>50</v>
      </c>
      <c r="F71" s="194"/>
      <c r="G71" s="161">
        <f t="shared" si="32"/>
        <v>0</v>
      </c>
      <c r="H71" s="53">
        <v>6739</v>
      </c>
      <c r="I71" s="149">
        <v>0.1</v>
      </c>
      <c r="J71" s="149">
        <v>0.3</v>
      </c>
      <c r="K71" s="149">
        <v>0.07</v>
      </c>
      <c r="L71" s="149">
        <v>0.4</v>
      </c>
      <c r="M71" s="150">
        <f>H71*(1+I71+J71+K71+L71)</f>
        <v>12601.93</v>
      </c>
      <c r="N71" s="243">
        <f t="shared" si="33"/>
        <v>12602</v>
      </c>
      <c r="O71" s="149"/>
      <c r="P71" s="245">
        <f t="shared" si="34"/>
        <v>0</v>
      </c>
      <c r="Q71" s="153">
        <f t="shared" si="37"/>
        <v>0</v>
      </c>
      <c r="R71" s="52"/>
      <c r="S71" s="79">
        <f t="shared" si="35"/>
        <v>0</v>
      </c>
      <c r="T71" s="79"/>
      <c r="U71" s="153"/>
      <c r="V71" s="153"/>
      <c r="W71" s="153"/>
      <c r="X71" s="153">
        <f t="shared" si="38"/>
        <v>0</v>
      </c>
      <c r="Y71" s="164"/>
      <c r="Z71" s="153">
        <f t="shared" si="36"/>
        <v>0</v>
      </c>
      <c r="AA71" s="154">
        <f t="shared" si="39"/>
        <v>0</v>
      </c>
      <c r="AB71" s="153">
        <f t="shared" si="40"/>
        <v>0</v>
      </c>
      <c r="AC71" s="52"/>
      <c r="AD71" s="79"/>
      <c r="AE71" s="163">
        <f t="shared" si="41"/>
        <v>0</v>
      </c>
      <c r="AF71" s="153">
        <f t="shared" si="42"/>
        <v>0</v>
      </c>
      <c r="AG71" s="155"/>
      <c r="AI71" s="159"/>
      <c r="AJ71" s="159"/>
      <c r="AK71" s="159"/>
      <c r="AL71" s="155"/>
      <c r="AM71" s="155"/>
      <c r="AN71" s="155"/>
      <c r="AO71" s="155"/>
      <c r="AQ71" s="159"/>
      <c r="AR71" s="159"/>
      <c r="AS71" s="159"/>
      <c r="AT71" s="155"/>
      <c r="AU71" s="155"/>
      <c r="AV71" s="155"/>
      <c r="AW71" s="155"/>
      <c r="AY71" s="159"/>
      <c r="AZ71" s="159"/>
      <c r="BA71" s="159"/>
      <c r="BB71" s="155"/>
      <c r="BC71" s="155"/>
      <c r="BD71" s="155"/>
      <c r="BE71" s="155"/>
      <c r="BG71" s="159"/>
      <c r="BH71" s="159"/>
      <c r="BI71" s="159"/>
      <c r="BJ71" s="155"/>
      <c r="BK71" s="155"/>
      <c r="BL71" s="155"/>
      <c r="BM71" s="155"/>
      <c r="BO71" s="159"/>
      <c r="BP71" s="159"/>
      <c r="BQ71" s="168"/>
      <c r="BR71" s="159"/>
      <c r="BS71" s="159"/>
      <c r="BT71" s="159"/>
      <c r="BU71" s="159"/>
      <c r="BV71" s="159"/>
      <c r="BW71" s="159"/>
      <c r="BX71" s="159"/>
      <c r="BY71" s="168"/>
      <c r="BZ71" s="155"/>
      <c r="CB71" s="159"/>
      <c r="CC71" s="159"/>
      <c r="CD71" s="168"/>
      <c r="CE71" s="159"/>
      <c r="CF71" s="159"/>
      <c r="CG71" s="159"/>
      <c r="CH71" s="159"/>
      <c r="CI71" s="159"/>
      <c r="CJ71" s="159"/>
      <c r="CK71" s="159"/>
      <c r="CL71" s="168"/>
      <c r="CM71" s="155"/>
    </row>
    <row r="72" spans="1:91" s="50" customFormat="1" ht="12.75">
      <c r="A72" s="199"/>
      <c r="B72" s="52" t="s">
        <v>84</v>
      </c>
      <c r="C72" s="192" t="s">
        <v>267</v>
      </c>
      <c r="D72" s="208" t="s">
        <v>52</v>
      </c>
      <c r="E72" s="206" t="s">
        <v>51</v>
      </c>
      <c r="F72" s="194"/>
      <c r="G72" s="161">
        <f t="shared" si="32"/>
        <v>0</v>
      </c>
      <c r="H72" s="53">
        <v>6739</v>
      </c>
      <c r="I72" s="149">
        <v>0.1</v>
      </c>
      <c r="J72" s="149">
        <v>0.1</v>
      </c>
      <c r="K72" s="149">
        <v>0.07</v>
      </c>
      <c r="L72" s="149">
        <v>0.8</v>
      </c>
      <c r="M72" s="150">
        <f>H72*(1+I72+J72+K72+L72)</f>
        <v>13949.730000000001</v>
      </c>
      <c r="N72" s="243">
        <f t="shared" si="33"/>
        <v>13950</v>
      </c>
      <c r="O72" s="149"/>
      <c r="P72" s="245">
        <f t="shared" si="34"/>
        <v>0</v>
      </c>
      <c r="Q72" s="153">
        <f t="shared" si="37"/>
        <v>0</v>
      </c>
      <c r="R72" s="52"/>
      <c r="S72" s="79">
        <f t="shared" si="35"/>
        <v>0</v>
      </c>
      <c r="T72" s="79"/>
      <c r="U72" s="153"/>
      <c r="V72" s="153"/>
      <c r="W72" s="153"/>
      <c r="X72" s="153">
        <f t="shared" si="38"/>
        <v>0</v>
      </c>
      <c r="Y72" s="164"/>
      <c r="Z72" s="153">
        <f t="shared" si="36"/>
        <v>0</v>
      </c>
      <c r="AA72" s="154">
        <f t="shared" si="39"/>
        <v>0</v>
      </c>
      <c r="AB72" s="153">
        <f t="shared" si="40"/>
        <v>0</v>
      </c>
      <c r="AC72" s="52"/>
      <c r="AD72" s="79"/>
      <c r="AE72" s="163">
        <f t="shared" si="41"/>
        <v>0</v>
      </c>
      <c r="AF72" s="153">
        <f t="shared" si="42"/>
        <v>0</v>
      </c>
      <c r="AG72" s="155"/>
      <c r="AI72" s="159"/>
      <c r="AJ72" s="159"/>
      <c r="AK72" s="159"/>
      <c r="AL72" s="155"/>
      <c r="AM72" s="155"/>
      <c r="AN72" s="155"/>
      <c r="AO72" s="155"/>
      <c r="AQ72" s="159"/>
      <c r="AR72" s="159"/>
      <c r="AS72" s="159"/>
      <c r="AT72" s="155"/>
      <c r="AU72" s="155"/>
      <c r="AV72" s="155"/>
      <c r="AW72" s="155"/>
      <c r="AY72" s="159"/>
      <c r="AZ72" s="159"/>
      <c r="BA72" s="159"/>
      <c r="BB72" s="155"/>
      <c r="BC72" s="155"/>
      <c r="BD72" s="155"/>
      <c r="BE72" s="155"/>
      <c r="BG72" s="159"/>
      <c r="BH72" s="159"/>
      <c r="BI72" s="159"/>
      <c r="BJ72" s="155"/>
      <c r="BK72" s="155"/>
      <c r="BL72" s="155"/>
      <c r="BM72" s="155"/>
      <c r="BO72" s="159"/>
      <c r="BP72" s="159"/>
      <c r="BQ72" s="168"/>
      <c r="BR72" s="159"/>
      <c r="BS72" s="159"/>
      <c r="BT72" s="159"/>
      <c r="BU72" s="159"/>
      <c r="BV72" s="159"/>
      <c r="BW72" s="159"/>
      <c r="BX72" s="159"/>
      <c r="BY72" s="168"/>
      <c r="BZ72" s="155"/>
      <c r="CB72" s="159"/>
      <c r="CC72" s="159"/>
      <c r="CD72" s="168"/>
      <c r="CE72" s="159"/>
      <c r="CF72" s="159"/>
      <c r="CG72" s="159"/>
      <c r="CH72" s="159"/>
      <c r="CI72" s="159"/>
      <c r="CJ72" s="159"/>
      <c r="CK72" s="159"/>
      <c r="CL72" s="168"/>
      <c r="CM72" s="155"/>
    </row>
    <row r="73" spans="1:91" s="50" customFormat="1" ht="12.75">
      <c r="A73" s="199"/>
      <c r="B73" s="52" t="s">
        <v>84</v>
      </c>
      <c r="C73" s="192" t="s">
        <v>244</v>
      </c>
      <c r="D73" s="208" t="s">
        <v>52</v>
      </c>
      <c r="E73" s="206" t="s">
        <v>50</v>
      </c>
      <c r="F73" s="194"/>
      <c r="G73" s="161">
        <f t="shared" si="32"/>
        <v>0</v>
      </c>
      <c r="H73" s="53">
        <v>6739</v>
      </c>
      <c r="I73" s="149">
        <v>0.1</v>
      </c>
      <c r="J73" s="149">
        <v>0.3</v>
      </c>
      <c r="K73" s="149">
        <v>0.07</v>
      </c>
      <c r="L73" s="149">
        <v>0.4</v>
      </c>
      <c r="M73" s="150">
        <f t="shared" si="43"/>
        <v>12601.93</v>
      </c>
      <c r="N73" s="243">
        <f t="shared" si="33"/>
        <v>12602</v>
      </c>
      <c r="O73" s="149"/>
      <c r="P73" s="245">
        <f t="shared" si="34"/>
        <v>0</v>
      </c>
      <c r="Q73" s="153">
        <f t="shared" si="37"/>
        <v>0</v>
      </c>
      <c r="R73" s="52"/>
      <c r="S73" s="79">
        <f t="shared" si="35"/>
        <v>0</v>
      </c>
      <c r="T73" s="79"/>
      <c r="U73" s="153"/>
      <c r="V73" s="153"/>
      <c r="W73" s="153"/>
      <c r="X73" s="153">
        <f t="shared" si="38"/>
        <v>0</v>
      </c>
      <c r="Y73" s="164"/>
      <c r="Z73" s="153">
        <f t="shared" si="36"/>
        <v>0</v>
      </c>
      <c r="AA73" s="154">
        <f t="shared" si="39"/>
        <v>0</v>
      </c>
      <c r="AB73" s="153">
        <f t="shared" si="40"/>
        <v>0</v>
      </c>
      <c r="AC73" s="52"/>
      <c r="AD73" s="79"/>
      <c r="AE73" s="163">
        <f t="shared" si="41"/>
        <v>0</v>
      </c>
      <c r="AF73" s="153">
        <f t="shared" si="42"/>
        <v>0</v>
      </c>
      <c r="AG73" s="155"/>
      <c r="AI73" s="159"/>
      <c r="AJ73" s="159"/>
      <c r="AK73" s="159"/>
      <c r="AL73" s="155"/>
      <c r="AM73" s="155"/>
      <c r="AN73" s="155"/>
      <c r="AO73" s="155"/>
      <c r="AQ73" s="159"/>
      <c r="AR73" s="159"/>
      <c r="AS73" s="159"/>
      <c r="AT73" s="155"/>
      <c r="AU73" s="155"/>
      <c r="AV73" s="155"/>
      <c r="AW73" s="155"/>
      <c r="AY73" s="159"/>
      <c r="AZ73" s="159"/>
      <c r="BA73" s="159"/>
      <c r="BB73" s="155"/>
      <c r="BC73" s="155"/>
      <c r="BD73" s="155"/>
      <c r="BE73" s="155"/>
      <c r="BG73" s="159"/>
      <c r="BH73" s="159"/>
      <c r="BI73" s="159"/>
      <c r="BJ73" s="155"/>
      <c r="BK73" s="155"/>
      <c r="BL73" s="155"/>
      <c r="BM73" s="155"/>
      <c r="BO73" s="159"/>
      <c r="BP73" s="159"/>
      <c r="BQ73" s="168"/>
      <c r="BR73" s="159"/>
      <c r="BS73" s="159"/>
      <c r="BT73" s="159"/>
      <c r="BU73" s="159"/>
      <c r="BV73" s="159"/>
      <c r="BW73" s="159"/>
      <c r="BX73" s="159"/>
      <c r="BY73" s="168"/>
      <c r="BZ73" s="155"/>
      <c r="CB73" s="159"/>
      <c r="CC73" s="159"/>
      <c r="CD73" s="168"/>
      <c r="CE73" s="159"/>
      <c r="CF73" s="159"/>
      <c r="CG73" s="159"/>
      <c r="CH73" s="159"/>
      <c r="CI73" s="159"/>
      <c r="CJ73" s="159"/>
      <c r="CK73" s="159"/>
      <c r="CL73" s="168"/>
      <c r="CM73" s="155"/>
    </row>
    <row r="74" spans="1:91" s="50" customFormat="1" ht="12.75">
      <c r="A74" s="199"/>
      <c r="B74" s="52" t="s">
        <v>84</v>
      </c>
      <c r="C74" s="191" t="s">
        <v>235</v>
      </c>
      <c r="D74" s="208" t="s">
        <v>52</v>
      </c>
      <c r="E74" s="206" t="s">
        <v>84</v>
      </c>
      <c r="F74" s="194"/>
      <c r="G74" s="161">
        <f t="shared" si="32"/>
        <v>0</v>
      </c>
      <c r="H74" s="53">
        <v>6739</v>
      </c>
      <c r="I74" s="149">
        <v>0.1</v>
      </c>
      <c r="J74" s="149">
        <v>0.3</v>
      </c>
      <c r="K74" s="149">
        <v>0.07</v>
      </c>
      <c r="L74" s="149">
        <v>0.8</v>
      </c>
      <c r="M74" s="150">
        <f t="shared" si="43"/>
        <v>15297.530000000002</v>
      </c>
      <c r="N74" s="243">
        <f t="shared" si="33"/>
        <v>15298</v>
      </c>
      <c r="O74" s="149"/>
      <c r="P74" s="245">
        <f t="shared" si="34"/>
        <v>0</v>
      </c>
      <c r="Q74" s="153">
        <f t="shared" si="37"/>
        <v>0</v>
      </c>
      <c r="R74" s="52"/>
      <c r="S74" s="79">
        <f t="shared" si="35"/>
        <v>0</v>
      </c>
      <c r="T74" s="79"/>
      <c r="U74" s="153"/>
      <c r="V74" s="153">
        <f>ROUND(Q74*10/100,2)</f>
        <v>0</v>
      </c>
      <c r="W74" s="153"/>
      <c r="X74" s="153">
        <f t="shared" si="38"/>
        <v>0</v>
      </c>
      <c r="Y74" s="164"/>
      <c r="Z74" s="153">
        <f t="shared" si="36"/>
        <v>0</v>
      </c>
      <c r="AA74" s="154">
        <f t="shared" si="39"/>
        <v>0</v>
      </c>
      <c r="AB74" s="153">
        <f t="shared" si="40"/>
        <v>0</v>
      </c>
      <c r="AC74" s="52"/>
      <c r="AD74" s="79"/>
      <c r="AE74" s="163">
        <f t="shared" si="41"/>
        <v>0</v>
      </c>
      <c r="AF74" s="153">
        <f t="shared" si="42"/>
        <v>0</v>
      </c>
      <c r="AG74" s="155"/>
      <c r="AI74" s="159"/>
      <c r="AJ74" s="159"/>
      <c r="AK74" s="159"/>
      <c r="AL74" s="155"/>
      <c r="AM74" s="155"/>
      <c r="AN74" s="155"/>
      <c r="AO74" s="155"/>
      <c r="AQ74" s="159"/>
      <c r="AR74" s="159"/>
      <c r="AS74" s="159"/>
      <c r="AT74" s="155"/>
      <c r="AU74" s="155"/>
      <c r="AV74" s="155"/>
      <c r="AW74" s="155"/>
      <c r="AY74" s="159"/>
      <c r="AZ74" s="159"/>
      <c r="BA74" s="159"/>
      <c r="BB74" s="155"/>
      <c r="BC74" s="155"/>
      <c r="BD74" s="155"/>
      <c r="BE74" s="155"/>
      <c r="BG74" s="159"/>
      <c r="BH74" s="159"/>
      <c r="BI74" s="159"/>
      <c r="BJ74" s="155"/>
      <c r="BK74" s="155"/>
      <c r="BL74" s="155"/>
      <c r="BM74" s="155"/>
      <c r="BO74" s="159"/>
      <c r="BP74" s="159"/>
      <c r="BQ74" s="168"/>
      <c r="BR74" s="159"/>
      <c r="BS74" s="159"/>
      <c r="BT74" s="159"/>
      <c r="BU74" s="159"/>
      <c r="BV74" s="159"/>
      <c r="BW74" s="159"/>
      <c r="BX74" s="159"/>
      <c r="BY74" s="168"/>
      <c r="BZ74" s="155"/>
      <c r="CB74" s="159"/>
      <c r="CC74" s="159"/>
      <c r="CD74" s="168"/>
      <c r="CE74" s="159"/>
      <c r="CF74" s="159"/>
      <c r="CG74" s="159"/>
      <c r="CH74" s="159"/>
      <c r="CI74" s="159"/>
      <c r="CJ74" s="159"/>
      <c r="CK74" s="159"/>
      <c r="CL74" s="168"/>
      <c r="CM74" s="155"/>
    </row>
    <row r="75" spans="1:91" s="50" customFormat="1" ht="12.75">
      <c r="A75" s="199"/>
      <c r="B75" s="52" t="s">
        <v>84</v>
      </c>
      <c r="C75" s="191" t="s">
        <v>193</v>
      </c>
      <c r="D75" s="208" t="s">
        <v>52</v>
      </c>
      <c r="E75" s="206" t="s">
        <v>51</v>
      </c>
      <c r="F75" s="194"/>
      <c r="G75" s="161">
        <f t="shared" si="32"/>
        <v>0</v>
      </c>
      <c r="H75" s="53">
        <v>6739</v>
      </c>
      <c r="I75" s="149">
        <v>0.1</v>
      </c>
      <c r="J75" s="149">
        <v>0.3</v>
      </c>
      <c r="K75" s="149">
        <v>0.07</v>
      </c>
      <c r="L75" s="149">
        <v>0.8</v>
      </c>
      <c r="M75" s="150">
        <f>H75*(1+I75+J75+K75+L75)</f>
        <v>15297.530000000002</v>
      </c>
      <c r="N75" s="243">
        <f t="shared" si="33"/>
        <v>15298</v>
      </c>
      <c r="O75" s="149"/>
      <c r="P75" s="245">
        <f t="shared" si="34"/>
        <v>0</v>
      </c>
      <c r="Q75" s="153">
        <f t="shared" si="37"/>
        <v>0</v>
      </c>
      <c r="R75" s="52"/>
      <c r="S75" s="79">
        <f t="shared" si="35"/>
        <v>0</v>
      </c>
      <c r="T75" s="79"/>
      <c r="U75" s="153"/>
      <c r="V75" s="153"/>
      <c r="W75" s="153"/>
      <c r="X75" s="153">
        <f t="shared" si="38"/>
        <v>0</v>
      </c>
      <c r="Y75" s="164"/>
      <c r="Z75" s="153">
        <f t="shared" si="36"/>
        <v>0</v>
      </c>
      <c r="AA75" s="154">
        <f t="shared" si="39"/>
        <v>0</v>
      </c>
      <c r="AB75" s="153">
        <f t="shared" si="40"/>
        <v>0</v>
      </c>
      <c r="AC75" s="52"/>
      <c r="AD75" s="79"/>
      <c r="AE75" s="163">
        <f t="shared" si="41"/>
        <v>0</v>
      </c>
      <c r="AF75" s="153">
        <f t="shared" si="42"/>
        <v>0</v>
      </c>
      <c r="AG75" s="155"/>
      <c r="AI75" s="159"/>
      <c r="AJ75" s="159"/>
      <c r="AK75" s="159"/>
      <c r="AL75" s="155"/>
      <c r="AM75" s="155"/>
      <c r="AN75" s="155"/>
      <c r="AO75" s="155"/>
      <c r="AQ75" s="159"/>
      <c r="AR75" s="159"/>
      <c r="AS75" s="159"/>
      <c r="AT75" s="155"/>
      <c r="AU75" s="155"/>
      <c r="AV75" s="155"/>
      <c r="AW75" s="155"/>
      <c r="AY75" s="159"/>
      <c r="AZ75" s="159"/>
      <c r="BA75" s="159"/>
      <c r="BB75" s="155"/>
      <c r="BC75" s="155"/>
      <c r="BD75" s="155"/>
      <c r="BE75" s="155"/>
      <c r="BG75" s="159"/>
      <c r="BH75" s="159"/>
      <c r="BI75" s="159"/>
      <c r="BJ75" s="155"/>
      <c r="BK75" s="155"/>
      <c r="BL75" s="155"/>
      <c r="BM75" s="155"/>
      <c r="BO75" s="159"/>
      <c r="BP75" s="159"/>
      <c r="BQ75" s="168"/>
      <c r="BR75" s="159"/>
      <c r="BS75" s="159"/>
      <c r="BT75" s="159"/>
      <c r="BU75" s="159"/>
      <c r="BV75" s="159"/>
      <c r="BW75" s="159"/>
      <c r="BX75" s="159"/>
      <c r="BY75" s="168"/>
      <c r="BZ75" s="155"/>
      <c r="CB75" s="159"/>
      <c r="CC75" s="159"/>
      <c r="CD75" s="168"/>
      <c r="CE75" s="159"/>
      <c r="CF75" s="159"/>
      <c r="CG75" s="159"/>
      <c r="CH75" s="159"/>
      <c r="CI75" s="159"/>
      <c r="CJ75" s="159"/>
      <c r="CK75" s="159"/>
      <c r="CL75" s="168"/>
      <c r="CM75" s="155"/>
    </row>
    <row r="76" spans="1:91" s="50" customFormat="1" ht="12.75">
      <c r="A76" s="199"/>
      <c r="B76" s="52" t="s">
        <v>84</v>
      </c>
      <c r="C76" s="192" t="s">
        <v>270</v>
      </c>
      <c r="D76" s="208" t="s">
        <v>52</v>
      </c>
      <c r="E76" s="206" t="s">
        <v>230</v>
      </c>
      <c r="F76" s="194"/>
      <c r="G76" s="161">
        <f t="shared" si="32"/>
        <v>0</v>
      </c>
      <c r="H76" s="53">
        <v>6739</v>
      </c>
      <c r="I76" s="149">
        <v>0.1</v>
      </c>
      <c r="J76" s="149">
        <v>0.1</v>
      </c>
      <c r="K76" s="149">
        <v>0.07</v>
      </c>
      <c r="L76" s="149"/>
      <c r="M76" s="150">
        <f t="shared" si="43"/>
        <v>8558.530000000002</v>
      </c>
      <c r="N76" s="243">
        <f t="shared" si="33"/>
        <v>8559</v>
      </c>
      <c r="O76" s="119"/>
      <c r="P76" s="245">
        <f t="shared" si="34"/>
        <v>0</v>
      </c>
      <c r="Q76" s="153">
        <f t="shared" si="37"/>
        <v>0</v>
      </c>
      <c r="R76" s="52"/>
      <c r="S76" s="79">
        <f t="shared" si="35"/>
        <v>0</v>
      </c>
      <c r="T76" s="79"/>
      <c r="U76" s="153"/>
      <c r="V76" s="153"/>
      <c r="W76" s="153"/>
      <c r="X76" s="153">
        <f t="shared" si="38"/>
        <v>0</v>
      </c>
      <c r="Y76" s="164"/>
      <c r="Z76" s="153">
        <f t="shared" si="36"/>
        <v>0</v>
      </c>
      <c r="AA76" s="154">
        <f t="shared" si="39"/>
        <v>0</v>
      </c>
      <c r="AB76" s="153">
        <f t="shared" si="40"/>
        <v>0</v>
      </c>
      <c r="AC76" s="52"/>
      <c r="AD76" s="79"/>
      <c r="AE76" s="163">
        <f t="shared" si="41"/>
        <v>0</v>
      </c>
      <c r="AF76" s="153">
        <f t="shared" si="42"/>
        <v>0</v>
      </c>
      <c r="AG76" s="155"/>
      <c r="AI76" s="159"/>
      <c r="AJ76" s="159"/>
      <c r="AK76" s="159"/>
      <c r="AL76" s="155"/>
      <c r="AM76" s="155"/>
      <c r="AN76" s="155"/>
      <c r="AO76" s="155"/>
      <c r="AQ76" s="159"/>
      <c r="AR76" s="159"/>
      <c r="AS76" s="159"/>
      <c r="AT76" s="155"/>
      <c r="AU76" s="155"/>
      <c r="AV76" s="155"/>
      <c r="AW76" s="155"/>
      <c r="AY76" s="159"/>
      <c r="AZ76" s="159"/>
      <c r="BA76" s="159"/>
      <c r="BB76" s="155"/>
      <c r="BC76" s="155"/>
      <c r="BD76" s="155"/>
      <c r="BE76" s="155"/>
      <c r="BG76" s="159"/>
      <c r="BH76" s="159"/>
      <c r="BI76" s="159"/>
      <c r="BJ76" s="155"/>
      <c r="BK76" s="155"/>
      <c r="BL76" s="155"/>
      <c r="BM76" s="155"/>
      <c r="BO76" s="159"/>
      <c r="BP76" s="159"/>
      <c r="BQ76" s="168"/>
      <c r="BR76" s="159"/>
      <c r="BS76" s="159"/>
      <c r="BT76" s="159"/>
      <c r="BU76" s="159"/>
      <c r="BV76" s="159"/>
      <c r="BW76" s="159"/>
      <c r="BX76" s="159"/>
      <c r="BY76" s="168"/>
      <c r="BZ76" s="155"/>
      <c r="CB76" s="159"/>
      <c r="CC76" s="159"/>
      <c r="CD76" s="168"/>
      <c r="CE76" s="159"/>
      <c r="CF76" s="159"/>
      <c r="CG76" s="159"/>
      <c r="CH76" s="159"/>
      <c r="CI76" s="159"/>
      <c r="CJ76" s="159"/>
      <c r="CK76" s="159"/>
      <c r="CL76" s="168"/>
      <c r="CM76" s="155"/>
    </row>
    <row r="77" spans="1:91" s="50" customFormat="1" ht="12.75">
      <c r="A77" s="199"/>
      <c r="B77" s="52" t="s">
        <v>84</v>
      </c>
      <c r="C77" s="192" t="s">
        <v>245</v>
      </c>
      <c r="D77" s="208" t="s">
        <v>52</v>
      </c>
      <c r="E77" s="206" t="s">
        <v>50</v>
      </c>
      <c r="F77" s="194"/>
      <c r="G77" s="161">
        <f t="shared" si="32"/>
        <v>0</v>
      </c>
      <c r="H77" s="53">
        <v>6739</v>
      </c>
      <c r="I77" s="149">
        <v>0.1</v>
      </c>
      <c r="J77" s="149">
        <v>0.3</v>
      </c>
      <c r="K77" s="149">
        <v>0.07</v>
      </c>
      <c r="L77" s="149">
        <v>0.4</v>
      </c>
      <c r="M77" s="150">
        <f t="shared" si="43"/>
        <v>12601.93</v>
      </c>
      <c r="N77" s="243">
        <f t="shared" si="33"/>
        <v>12602</v>
      </c>
      <c r="O77" s="149"/>
      <c r="P77" s="245">
        <f t="shared" si="34"/>
        <v>0</v>
      </c>
      <c r="Q77" s="153">
        <f t="shared" si="37"/>
        <v>0</v>
      </c>
      <c r="R77" s="52"/>
      <c r="S77" s="79">
        <f t="shared" si="35"/>
        <v>0</v>
      </c>
      <c r="T77" s="79"/>
      <c r="U77" s="153"/>
      <c r="V77" s="153"/>
      <c r="W77" s="153"/>
      <c r="X77" s="153">
        <f t="shared" si="38"/>
        <v>0</v>
      </c>
      <c r="Y77" s="164"/>
      <c r="Z77" s="153">
        <f t="shared" si="36"/>
        <v>0</v>
      </c>
      <c r="AA77" s="154">
        <f t="shared" si="39"/>
        <v>0</v>
      </c>
      <c r="AB77" s="153">
        <f t="shared" si="40"/>
        <v>0</v>
      </c>
      <c r="AC77" s="52"/>
      <c r="AD77" s="79"/>
      <c r="AE77" s="163">
        <f t="shared" si="41"/>
        <v>0</v>
      </c>
      <c r="AF77" s="153">
        <f t="shared" si="42"/>
        <v>0</v>
      </c>
      <c r="AG77" s="155"/>
      <c r="AI77" s="159"/>
      <c r="AJ77" s="159"/>
      <c r="AK77" s="159"/>
      <c r="AL77" s="155"/>
      <c r="AM77" s="155"/>
      <c r="AN77" s="155"/>
      <c r="AO77" s="155"/>
      <c r="AQ77" s="159"/>
      <c r="AR77" s="159"/>
      <c r="AS77" s="159"/>
      <c r="AT77" s="155"/>
      <c r="AU77" s="155"/>
      <c r="AV77" s="155"/>
      <c r="AW77" s="155"/>
      <c r="AY77" s="159"/>
      <c r="AZ77" s="159"/>
      <c r="BA77" s="159"/>
      <c r="BB77" s="155"/>
      <c r="BC77" s="155"/>
      <c r="BD77" s="155"/>
      <c r="BE77" s="155"/>
      <c r="BG77" s="159"/>
      <c r="BH77" s="159"/>
      <c r="BI77" s="159"/>
      <c r="BJ77" s="155"/>
      <c r="BK77" s="155"/>
      <c r="BL77" s="155"/>
      <c r="BM77" s="155"/>
      <c r="BO77" s="159"/>
      <c r="BP77" s="159"/>
      <c r="BQ77" s="168"/>
      <c r="BR77" s="159"/>
      <c r="BS77" s="159"/>
      <c r="BT77" s="159"/>
      <c r="BU77" s="159"/>
      <c r="BV77" s="159"/>
      <c r="BW77" s="159"/>
      <c r="BX77" s="159"/>
      <c r="BY77" s="168"/>
      <c r="BZ77" s="155"/>
      <c r="CB77" s="159"/>
      <c r="CC77" s="159"/>
      <c r="CD77" s="168"/>
      <c r="CE77" s="159"/>
      <c r="CF77" s="159"/>
      <c r="CG77" s="159"/>
      <c r="CH77" s="159"/>
      <c r="CI77" s="159"/>
      <c r="CJ77" s="159"/>
      <c r="CK77" s="159"/>
      <c r="CL77" s="168"/>
      <c r="CM77" s="155"/>
    </row>
    <row r="78" spans="1:91" s="50" customFormat="1" ht="12.75">
      <c r="A78" s="199"/>
      <c r="B78" s="52" t="s">
        <v>167</v>
      </c>
      <c r="C78" s="149" t="s">
        <v>257</v>
      </c>
      <c r="D78" s="208" t="s">
        <v>52</v>
      </c>
      <c r="E78" s="206" t="s">
        <v>230</v>
      </c>
      <c r="F78" s="194"/>
      <c r="G78" s="161">
        <f t="shared" si="32"/>
        <v>0</v>
      </c>
      <c r="H78" s="53">
        <v>6739</v>
      </c>
      <c r="I78" s="149"/>
      <c r="J78" s="149">
        <v>0.2</v>
      </c>
      <c r="K78" s="149">
        <v>0.07</v>
      </c>
      <c r="L78" s="149"/>
      <c r="M78" s="150">
        <f t="shared" si="43"/>
        <v>8558.53</v>
      </c>
      <c r="N78" s="243">
        <f t="shared" si="33"/>
        <v>8559</v>
      </c>
      <c r="O78" s="149"/>
      <c r="P78" s="245">
        <f t="shared" si="34"/>
        <v>0</v>
      </c>
      <c r="Q78" s="153">
        <f t="shared" si="37"/>
        <v>0</v>
      </c>
      <c r="R78" s="52"/>
      <c r="S78" s="79">
        <f t="shared" si="35"/>
        <v>0</v>
      </c>
      <c r="T78" s="79"/>
      <c r="U78" s="153"/>
      <c r="V78" s="153"/>
      <c r="W78" s="153"/>
      <c r="X78" s="153">
        <f t="shared" si="38"/>
        <v>0</v>
      </c>
      <c r="Y78" s="164"/>
      <c r="Z78" s="153">
        <f t="shared" si="36"/>
        <v>0</v>
      </c>
      <c r="AA78" s="154">
        <f t="shared" si="39"/>
        <v>0</v>
      </c>
      <c r="AB78" s="153">
        <f t="shared" si="40"/>
        <v>0</v>
      </c>
      <c r="AC78" s="52"/>
      <c r="AD78" s="79"/>
      <c r="AE78" s="163">
        <f t="shared" si="41"/>
        <v>0</v>
      </c>
      <c r="AF78" s="153">
        <f t="shared" si="42"/>
        <v>0</v>
      </c>
      <c r="AG78" s="155"/>
      <c r="AI78" s="159"/>
      <c r="AJ78" s="159"/>
      <c r="AK78" s="159"/>
      <c r="AL78" s="155"/>
      <c r="AM78" s="155"/>
      <c r="AN78" s="155"/>
      <c r="AO78" s="155"/>
      <c r="AQ78" s="159"/>
      <c r="AR78" s="159"/>
      <c r="AS78" s="159"/>
      <c r="AT78" s="155"/>
      <c r="AU78" s="155"/>
      <c r="AV78" s="155"/>
      <c r="AW78" s="155"/>
      <c r="AY78" s="159"/>
      <c r="AZ78" s="159"/>
      <c r="BA78" s="159"/>
      <c r="BB78" s="155"/>
      <c r="BC78" s="155"/>
      <c r="BD78" s="155"/>
      <c r="BE78" s="155"/>
      <c r="BG78" s="159"/>
      <c r="BH78" s="159"/>
      <c r="BI78" s="159"/>
      <c r="BJ78" s="155"/>
      <c r="BK78" s="155"/>
      <c r="BL78" s="155"/>
      <c r="BM78" s="155"/>
      <c r="BO78" s="159"/>
      <c r="BP78" s="159"/>
      <c r="BQ78" s="168"/>
      <c r="BR78" s="159"/>
      <c r="BS78" s="159"/>
      <c r="BT78" s="159"/>
      <c r="BU78" s="159"/>
      <c r="BV78" s="159"/>
      <c r="BW78" s="159"/>
      <c r="BX78" s="159"/>
      <c r="BY78" s="168"/>
      <c r="BZ78" s="155"/>
      <c r="CB78" s="159"/>
      <c r="CC78" s="159"/>
      <c r="CD78" s="168"/>
      <c r="CE78" s="159"/>
      <c r="CF78" s="159"/>
      <c r="CG78" s="159"/>
      <c r="CH78" s="159"/>
      <c r="CI78" s="159"/>
      <c r="CJ78" s="159"/>
      <c r="CK78" s="159"/>
      <c r="CL78" s="168"/>
      <c r="CM78" s="155"/>
    </row>
    <row r="79" spans="1:91" s="50" customFormat="1" ht="12.75">
      <c r="A79" s="199"/>
      <c r="B79" s="52" t="s">
        <v>84</v>
      </c>
      <c r="C79" s="192" t="s">
        <v>246</v>
      </c>
      <c r="D79" s="208" t="s">
        <v>52</v>
      </c>
      <c r="E79" s="206" t="s">
        <v>51</v>
      </c>
      <c r="F79" s="194"/>
      <c r="G79" s="161">
        <f t="shared" si="32"/>
        <v>0</v>
      </c>
      <c r="H79" s="53">
        <v>6739</v>
      </c>
      <c r="I79" s="149">
        <v>0.1</v>
      </c>
      <c r="J79" s="149">
        <v>0.3</v>
      </c>
      <c r="K79" s="149">
        <v>0.07</v>
      </c>
      <c r="L79" s="149">
        <v>0.4</v>
      </c>
      <c r="M79" s="150">
        <f t="shared" si="43"/>
        <v>12601.93</v>
      </c>
      <c r="N79" s="243">
        <f t="shared" si="33"/>
        <v>12602</v>
      </c>
      <c r="O79" s="149"/>
      <c r="P79" s="245">
        <f t="shared" si="34"/>
        <v>0</v>
      </c>
      <c r="Q79" s="153">
        <f t="shared" si="37"/>
        <v>0</v>
      </c>
      <c r="R79" s="52"/>
      <c r="S79" s="79">
        <f t="shared" si="35"/>
        <v>0</v>
      </c>
      <c r="T79" s="79"/>
      <c r="U79" s="153"/>
      <c r="V79" s="153"/>
      <c r="W79" s="153"/>
      <c r="X79" s="153">
        <f t="shared" si="38"/>
        <v>0</v>
      </c>
      <c r="Y79" s="164"/>
      <c r="Z79" s="153">
        <f t="shared" si="36"/>
        <v>0</v>
      </c>
      <c r="AA79" s="154">
        <f t="shared" si="39"/>
        <v>0</v>
      </c>
      <c r="AB79" s="153">
        <f t="shared" si="40"/>
        <v>0</v>
      </c>
      <c r="AC79" s="52"/>
      <c r="AD79" s="79"/>
      <c r="AE79" s="163">
        <f t="shared" si="41"/>
        <v>0</v>
      </c>
      <c r="AF79" s="153">
        <f t="shared" si="42"/>
        <v>0</v>
      </c>
      <c r="AG79" s="155"/>
      <c r="AI79" s="159"/>
      <c r="AJ79" s="159"/>
      <c r="AK79" s="159"/>
      <c r="AL79" s="155"/>
      <c r="AM79" s="155"/>
      <c r="AN79" s="155"/>
      <c r="AO79" s="155"/>
      <c r="AQ79" s="159"/>
      <c r="AR79" s="159"/>
      <c r="AS79" s="159"/>
      <c r="AT79" s="155"/>
      <c r="AU79" s="155"/>
      <c r="AV79" s="155"/>
      <c r="AW79" s="155"/>
      <c r="AY79" s="159"/>
      <c r="AZ79" s="159"/>
      <c r="BA79" s="159"/>
      <c r="BB79" s="155"/>
      <c r="BC79" s="155"/>
      <c r="BD79" s="155"/>
      <c r="BE79" s="155"/>
      <c r="BG79" s="159"/>
      <c r="BH79" s="159"/>
      <c r="BI79" s="159"/>
      <c r="BJ79" s="155"/>
      <c r="BK79" s="155"/>
      <c r="BL79" s="155"/>
      <c r="BM79" s="155"/>
      <c r="BO79" s="159"/>
      <c r="BP79" s="159"/>
      <c r="BQ79" s="168"/>
      <c r="BR79" s="159"/>
      <c r="BS79" s="159"/>
      <c r="BT79" s="159"/>
      <c r="BU79" s="159"/>
      <c r="BV79" s="159"/>
      <c r="BW79" s="159"/>
      <c r="BX79" s="159"/>
      <c r="BY79" s="168"/>
      <c r="BZ79" s="155"/>
      <c r="CB79" s="159"/>
      <c r="CC79" s="159"/>
      <c r="CD79" s="168"/>
      <c r="CE79" s="159"/>
      <c r="CF79" s="159"/>
      <c r="CG79" s="159"/>
      <c r="CH79" s="159"/>
      <c r="CI79" s="159"/>
      <c r="CJ79" s="159"/>
      <c r="CK79" s="159"/>
      <c r="CL79" s="168"/>
      <c r="CM79" s="155"/>
    </row>
    <row r="80" spans="1:91" s="50" customFormat="1" ht="12.75">
      <c r="A80" s="199"/>
      <c r="B80" s="52" t="s">
        <v>84</v>
      </c>
      <c r="C80" s="191" t="s">
        <v>260</v>
      </c>
      <c r="D80" s="208" t="s">
        <v>52</v>
      </c>
      <c r="E80" s="206" t="s">
        <v>50</v>
      </c>
      <c r="F80" s="194"/>
      <c r="G80" s="161">
        <f t="shared" si="32"/>
        <v>0</v>
      </c>
      <c r="H80" s="53">
        <v>6739</v>
      </c>
      <c r="I80" s="149">
        <v>0.1</v>
      </c>
      <c r="J80" s="149">
        <v>0.2</v>
      </c>
      <c r="K80" s="149">
        <v>0.07</v>
      </c>
      <c r="L80" s="149">
        <v>0.4</v>
      </c>
      <c r="M80" s="150">
        <f>H80*(1+I80+J80+K80+L80)</f>
        <v>11928.03</v>
      </c>
      <c r="N80" s="243">
        <f t="shared" si="33"/>
        <v>11928</v>
      </c>
      <c r="O80" s="149"/>
      <c r="P80" s="245">
        <f t="shared" si="34"/>
        <v>0</v>
      </c>
      <c r="Q80" s="153">
        <f t="shared" si="37"/>
        <v>0</v>
      </c>
      <c r="R80" s="52"/>
      <c r="S80" s="79">
        <f t="shared" si="35"/>
        <v>0</v>
      </c>
      <c r="T80" s="79"/>
      <c r="U80" s="153"/>
      <c r="V80" s="153"/>
      <c r="W80" s="153"/>
      <c r="X80" s="153">
        <f t="shared" si="38"/>
        <v>0</v>
      </c>
      <c r="Y80" s="164"/>
      <c r="Z80" s="153">
        <f aca="true" t="shared" si="44" ref="Z80:Z102">P80/30*Y80</f>
        <v>0</v>
      </c>
      <c r="AA80" s="154">
        <f t="shared" si="39"/>
        <v>0</v>
      </c>
      <c r="AB80" s="153">
        <f t="shared" si="40"/>
        <v>0</v>
      </c>
      <c r="AC80" s="52"/>
      <c r="AD80" s="79"/>
      <c r="AE80" s="163">
        <f t="shared" si="41"/>
        <v>0</v>
      </c>
      <c r="AF80" s="153">
        <f t="shared" si="42"/>
        <v>0</v>
      </c>
      <c r="AG80" s="155"/>
      <c r="AI80" s="159"/>
      <c r="AJ80" s="159"/>
      <c r="AK80" s="159"/>
      <c r="AL80" s="155"/>
      <c r="AM80" s="155"/>
      <c r="AN80" s="155"/>
      <c r="AO80" s="155"/>
      <c r="AQ80" s="159"/>
      <c r="AR80" s="159"/>
      <c r="AS80" s="159"/>
      <c r="AT80" s="155"/>
      <c r="AU80" s="155"/>
      <c r="AV80" s="155"/>
      <c r="AW80" s="155"/>
      <c r="AY80" s="159"/>
      <c r="AZ80" s="159"/>
      <c r="BA80" s="159"/>
      <c r="BB80" s="155"/>
      <c r="BC80" s="155"/>
      <c r="BD80" s="155"/>
      <c r="BE80" s="155"/>
      <c r="BG80" s="159"/>
      <c r="BH80" s="159"/>
      <c r="BI80" s="159"/>
      <c r="BJ80" s="155"/>
      <c r="BK80" s="155"/>
      <c r="BL80" s="155"/>
      <c r="BM80" s="155"/>
      <c r="BO80" s="159"/>
      <c r="BP80" s="159"/>
      <c r="BQ80" s="168"/>
      <c r="BR80" s="159"/>
      <c r="BS80" s="159"/>
      <c r="BT80" s="159"/>
      <c r="BU80" s="159"/>
      <c r="BV80" s="159"/>
      <c r="BW80" s="159"/>
      <c r="BX80" s="159"/>
      <c r="BY80" s="168"/>
      <c r="BZ80" s="155"/>
      <c r="CB80" s="159"/>
      <c r="CC80" s="159"/>
      <c r="CD80" s="168"/>
      <c r="CE80" s="159"/>
      <c r="CF80" s="159"/>
      <c r="CG80" s="159"/>
      <c r="CH80" s="159"/>
      <c r="CI80" s="159"/>
      <c r="CJ80" s="159"/>
      <c r="CK80" s="159"/>
      <c r="CL80" s="168"/>
      <c r="CM80" s="155"/>
    </row>
    <row r="81" spans="1:91" s="50" customFormat="1" ht="12.75">
      <c r="A81" s="199"/>
      <c r="B81" s="52" t="s">
        <v>84</v>
      </c>
      <c r="C81" s="149" t="s">
        <v>264</v>
      </c>
      <c r="D81" s="208" t="s">
        <v>52</v>
      </c>
      <c r="E81" s="206" t="s">
        <v>230</v>
      </c>
      <c r="F81" s="194"/>
      <c r="G81" s="161">
        <f t="shared" si="32"/>
        <v>0</v>
      </c>
      <c r="H81" s="53">
        <v>6739</v>
      </c>
      <c r="I81" s="149">
        <v>0.1</v>
      </c>
      <c r="J81" s="149">
        <v>0.1</v>
      </c>
      <c r="K81" s="149">
        <v>0.07</v>
      </c>
      <c r="L81" s="149"/>
      <c r="M81" s="150">
        <f t="shared" si="43"/>
        <v>8558.530000000002</v>
      </c>
      <c r="N81" s="243">
        <f t="shared" si="33"/>
        <v>8559</v>
      </c>
      <c r="O81" s="119"/>
      <c r="P81" s="245">
        <f t="shared" si="34"/>
        <v>0</v>
      </c>
      <c r="Q81" s="153">
        <f t="shared" si="37"/>
        <v>0</v>
      </c>
      <c r="R81" s="52"/>
      <c r="S81" s="79">
        <f t="shared" si="35"/>
        <v>0</v>
      </c>
      <c r="T81" s="79"/>
      <c r="U81" s="153"/>
      <c r="V81" s="153"/>
      <c r="W81" s="153"/>
      <c r="X81" s="153">
        <f t="shared" si="38"/>
        <v>0</v>
      </c>
      <c r="Y81" s="164"/>
      <c r="Z81" s="153">
        <f t="shared" si="44"/>
        <v>0</v>
      </c>
      <c r="AA81" s="154">
        <f t="shared" si="39"/>
        <v>0</v>
      </c>
      <c r="AB81" s="153">
        <f t="shared" si="40"/>
        <v>0</v>
      </c>
      <c r="AC81" s="52"/>
      <c r="AD81" s="79"/>
      <c r="AE81" s="163">
        <f t="shared" si="41"/>
        <v>0</v>
      </c>
      <c r="AF81" s="153">
        <f t="shared" si="42"/>
        <v>0</v>
      </c>
      <c r="AG81" s="155"/>
      <c r="AI81" s="159"/>
      <c r="AJ81" s="159"/>
      <c r="AK81" s="159"/>
      <c r="AL81" s="155"/>
      <c r="AM81" s="155"/>
      <c r="AN81" s="155"/>
      <c r="AO81" s="155"/>
      <c r="AQ81" s="159"/>
      <c r="AR81" s="159"/>
      <c r="AS81" s="159"/>
      <c r="AT81" s="155"/>
      <c r="AU81" s="155"/>
      <c r="AV81" s="155"/>
      <c r="AW81" s="155"/>
      <c r="AY81" s="159"/>
      <c r="AZ81" s="159"/>
      <c r="BA81" s="159"/>
      <c r="BB81" s="155"/>
      <c r="BC81" s="155"/>
      <c r="BD81" s="155"/>
      <c r="BE81" s="155"/>
      <c r="BG81" s="159"/>
      <c r="BH81" s="159"/>
      <c r="BI81" s="159"/>
      <c r="BJ81" s="155"/>
      <c r="BK81" s="155"/>
      <c r="BL81" s="155"/>
      <c r="BM81" s="155"/>
      <c r="BO81" s="159"/>
      <c r="BP81" s="159"/>
      <c r="BQ81" s="168"/>
      <c r="BR81" s="159"/>
      <c r="BS81" s="159"/>
      <c r="BT81" s="159"/>
      <c r="BU81" s="159"/>
      <c r="BV81" s="159"/>
      <c r="BW81" s="159"/>
      <c r="BX81" s="159"/>
      <c r="BY81" s="168"/>
      <c r="BZ81" s="155"/>
      <c r="CB81" s="159"/>
      <c r="CC81" s="159"/>
      <c r="CD81" s="168"/>
      <c r="CE81" s="159"/>
      <c r="CF81" s="159"/>
      <c r="CG81" s="159"/>
      <c r="CH81" s="159"/>
      <c r="CI81" s="159"/>
      <c r="CJ81" s="159"/>
      <c r="CK81" s="159"/>
      <c r="CL81" s="168"/>
      <c r="CM81" s="155"/>
    </row>
    <row r="82" spans="1:91" s="50" customFormat="1" ht="12.75">
      <c r="A82" s="199"/>
      <c r="B82" s="52" t="s">
        <v>84</v>
      </c>
      <c r="C82" s="149" t="s">
        <v>254</v>
      </c>
      <c r="D82" s="208" t="s">
        <v>52</v>
      </c>
      <c r="E82" s="206" t="s">
        <v>50</v>
      </c>
      <c r="F82" s="194"/>
      <c r="G82" s="161">
        <f t="shared" si="32"/>
        <v>0</v>
      </c>
      <c r="H82" s="53">
        <v>6739</v>
      </c>
      <c r="I82" s="149">
        <v>0.1</v>
      </c>
      <c r="J82" s="149">
        <v>0.1</v>
      </c>
      <c r="K82" s="149">
        <v>0.07</v>
      </c>
      <c r="L82" s="149">
        <v>0.4</v>
      </c>
      <c r="M82" s="150">
        <f t="shared" si="43"/>
        <v>11254.130000000003</v>
      </c>
      <c r="N82" s="243">
        <f t="shared" si="33"/>
        <v>11254</v>
      </c>
      <c r="O82" s="149"/>
      <c r="P82" s="245">
        <f t="shared" si="34"/>
        <v>0</v>
      </c>
      <c r="Q82" s="153">
        <f t="shared" si="37"/>
        <v>0</v>
      </c>
      <c r="R82" s="52"/>
      <c r="S82" s="79">
        <f t="shared" si="35"/>
        <v>0</v>
      </c>
      <c r="T82" s="79"/>
      <c r="U82" s="153"/>
      <c r="V82" s="153"/>
      <c r="W82" s="153"/>
      <c r="X82" s="153">
        <f t="shared" si="38"/>
        <v>0</v>
      </c>
      <c r="Y82" s="164"/>
      <c r="Z82" s="153">
        <f t="shared" si="44"/>
        <v>0</v>
      </c>
      <c r="AA82" s="154">
        <f t="shared" si="39"/>
        <v>0</v>
      </c>
      <c r="AB82" s="153">
        <f t="shared" si="40"/>
        <v>0</v>
      </c>
      <c r="AC82" s="52"/>
      <c r="AD82" s="79"/>
      <c r="AE82" s="163">
        <f t="shared" si="41"/>
        <v>0</v>
      </c>
      <c r="AF82" s="153">
        <f t="shared" si="42"/>
        <v>0</v>
      </c>
      <c r="AG82" s="155"/>
      <c r="AI82" s="159"/>
      <c r="AJ82" s="159"/>
      <c r="AK82" s="159"/>
      <c r="AL82" s="155"/>
      <c r="AM82" s="155"/>
      <c r="AN82" s="155"/>
      <c r="AO82" s="155"/>
      <c r="AQ82" s="159"/>
      <c r="AR82" s="159"/>
      <c r="AS82" s="159"/>
      <c r="AT82" s="155"/>
      <c r="AU82" s="155"/>
      <c r="AV82" s="155"/>
      <c r="AW82" s="155"/>
      <c r="AY82" s="159"/>
      <c r="AZ82" s="159"/>
      <c r="BA82" s="159"/>
      <c r="BB82" s="155"/>
      <c r="BC82" s="155"/>
      <c r="BD82" s="155"/>
      <c r="BE82" s="155"/>
      <c r="BG82" s="159"/>
      <c r="BH82" s="159"/>
      <c r="BI82" s="159"/>
      <c r="BJ82" s="155"/>
      <c r="BK82" s="155"/>
      <c r="BL82" s="155"/>
      <c r="BM82" s="155"/>
      <c r="BO82" s="159"/>
      <c r="BP82" s="159"/>
      <c r="BQ82" s="168"/>
      <c r="BR82" s="159"/>
      <c r="BS82" s="159"/>
      <c r="BT82" s="159"/>
      <c r="BU82" s="159"/>
      <c r="BV82" s="159"/>
      <c r="BW82" s="159"/>
      <c r="BX82" s="159"/>
      <c r="BY82" s="168"/>
      <c r="BZ82" s="155"/>
      <c r="CB82" s="159"/>
      <c r="CC82" s="159"/>
      <c r="CD82" s="168"/>
      <c r="CE82" s="159"/>
      <c r="CF82" s="159"/>
      <c r="CG82" s="159"/>
      <c r="CH82" s="159"/>
      <c r="CI82" s="159"/>
      <c r="CJ82" s="159"/>
      <c r="CK82" s="159"/>
      <c r="CL82" s="168"/>
      <c r="CM82" s="155"/>
    </row>
    <row r="83" spans="1:91" s="50" customFormat="1" ht="12.75">
      <c r="A83" s="199"/>
      <c r="B83" s="52" t="s">
        <v>84</v>
      </c>
      <c r="C83" s="149" t="s">
        <v>248</v>
      </c>
      <c r="D83" s="208" t="s">
        <v>52</v>
      </c>
      <c r="E83" s="206" t="s">
        <v>50</v>
      </c>
      <c r="F83" s="194"/>
      <c r="G83" s="161">
        <f t="shared" si="32"/>
        <v>0</v>
      </c>
      <c r="H83" s="53">
        <v>6739</v>
      </c>
      <c r="I83" s="149">
        <v>0.1</v>
      </c>
      <c r="J83" s="149">
        <v>0.3</v>
      </c>
      <c r="K83" s="149">
        <v>0.07</v>
      </c>
      <c r="L83" s="149">
        <v>0.4</v>
      </c>
      <c r="M83" s="150">
        <f t="shared" si="43"/>
        <v>12601.93</v>
      </c>
      <c r="N83" s="243">
        <f t="shared" si="33"/>
        <v>12602</v>
      </c>
      <c r="O83" s="149"/>
      <c r="P83" s="245">
        <f t="shared" si="34"/>
        <v>0</v>
      </c>
      <c r="Q83" s="153">
        <f t="shared" si="37"/>
        <v>0</v>
      </c>
      <c r="R83" s="52"/>
      <c r="S83" s="79">
        <f t="shared" si="35"/>
        <v>0</v>
      </c>
      <c r="T83" s="79"/>
      <c r="U83" s="153"/>
      <c r="V83" s="153"/>
      <c r="W83" s="153"/>
      <c r="X83" s="153">
        <f t="shared" si="38"/>
        <v>0</v>
      </c>
      <c r="Y83" s="164"/>
      <c r="Z83" s="153">
        <f t="shared" si="44"/>
        <v>0</v>
      </c>
      <c r="AA83" s="154">
        <f t="shared" si="39"/>
        <v>0</v>
      </c>
      <c r="AB83" s="153">
        <f t="shared" si="40"/>
        <v>0</v>
      </c>
      <c r="AC83" s="52"/>
      <c r="AD83" s="79"/>
      <c r="AE83" s="163">
        <f t="shared" si="41"/>
        <v>0</v>
      </c>
      <c r="AF83" s="153">
        <f t="shared" si="42"/>
        <v>0</v>
      </c>
      <c r="AG83" s="155"/>
      <c r="AI83" s="159"/>
      <c r="AJ83" s="159"/>
      <c r="AK83" s="159"/>
      <c r="AL83" s="155"/>
      <c r="AM83" s="155"/>
      <c r="AN83" s="155"/>
      <c r="AO83" s="155"/>
      <c r="AQ83" s="159"/>
      <c r="AR83" s="159"/>
      <c r="AS83" s="159"/>
      <c r="AT83" s="155"/>
      <c r="AU83" s="155"/>
      <c r="AV83" s="155"/>
      <c r="AW83" s="155"/>
      <c r="AY83" s="159"/>
      <c r="AZ83" s="159"/>
      <c r="BA83" s="159"/>
      <c r="BB83" s="155"/>
      <c r="BC83" s="155"/>
      <c r="BD83" s="155"/>
      <c r="BE83" s="155"/>
      <c r="BG83" s="159"/>
      <c r="BH83" s="159"/>
      <c r="BI83" s="159"/>
      <c r="BJ83" s="155"/>
      <c r="BK83" s="155"/>
      <c r="BL83" s="155"/>
      <c r="BM83" s="155"/>
      <c r="BO83" s="159"/>
      <c r="BP83" s="159"/>
      <c r="BQ83" s="168"/>
      <c r="BR83" s="159"/>
      <c r="BS83" s="159"/>
      <c r="BT83" s="159"/>
      <c r="BU83" s="159"/>
      <c r="BV83" s="159"/>
      <c r="BW83" s="159"/>
      <c r="BX83" s="159"/>
      <c r="BY83" s="168"/>
      <c r="BZ83" s="155"/>
      <c r="CB83" s="159"/>
      <c r="CC83" s="159"/>
      <c r="CD83" s="168"/>
      <c r="CE83" s="159"/>
      <c r="CF83" s="159"/>
      <c r="CG83" s="159"/>
      <c r="CH83" s="159"/>
      <c r="CI83" s="159"/>
      <c r="CJ83" s="159"/>
      <c r="CK83" s="159"/>
      <c r="CL83" s="168"/>
      <c r="CM83" s="155"/>
    </row>
    <row r="84" spans="1:91" s="129" customFormat="1" ht="12.75">
      <c r="A84" s="199"/>
      <c r="B84" s="53" t="s">
        <v>84</v>
      </c>
      <c r="C84" s="149" t="s">
        <v>249</v>
      </c>
      <c r="D84" s="208" t="s">
        <v>52</v>
      </c>
      <c r="E84" s="206" t="s">
        <v>230</v>
      </c>
      <c r="F84" s="194"/>
      <c r="G84" s="161">
        <f t="shared" si="32"/>
        <v>0</v>
      </c>
      <c r="H84" s="53">
        <v>6739</v>
      </c>
      <c r="I84" s="149">
        <v>0.1</v>
      </c>
      <c r="J84" s="149">
        <v>0.2</v>
      </c>
      <c r="K84" s="149">
        <v>0.07</v>
      </c>
      <c r="L84" s="149"/>
      <c r="M84" s="150">
        <f t="shared" si="43"/>
        <v>9232.43</v>
      </c>
      <c r="N84" s="243">
        <f t="shared" si="33"/>
        <v>9232</v>
      </c>
      <c r="O84" s="149"/>
      <c r="P84" s="245">
        <f t="shared" si="34"/>
        <v>0</v>
      </c>
      <c r="Q84" s="153">
        <f t="shared" si="37"/>
        <v>0</v>
      </c>
      <c r="R84" s="52"/>
      <c r="S84" s="79">
        <f t="shared" si="35"/>
        <v>0</v>
      </c>
      <c r="T84" s="79"/>
      <c r="U84" s="153"/>
      <c r="V84" s="153"/>
      <c r="W84" s="153"/>
      <c r="X84" s="153">
        <f t="shared" si="38"/>
        <v>0</v>
      </c>
      <c r="Y84" s="164"/>
      <c r="Z84" s="153">
        <f t="shared" si="44"/>
        <v>0</v>
      </c>
      <c r="AA84" s="154">
        <f t="shared" si="39"/>
        <v>0</v>
      </c>
      <c r="AB84" s="153">
        <f t="shared" si="40"/>
        <v>0</v>
      </c>
      <c r="AC84" s="52"/>
      <c r="AD84" s="79"/>
      <c r="AE84" s="163">
        <f t="shared" si="41"/>
        <v>0</v>
      </c>
      <c r="AF84" s="153">
        <f t="shared" si="42"/>
        <v>0</v>
      </c>
      <c r="AG84" s="170"/>
      <c r="AI84" s="167"/>
      <c r="AJ84" s="167"/>
      <c r="AK84" s="167"/>
      <c r="AL84" s="170"/>
      <c r="AM84" s="170"/>
      <c r="AN84" s="170"/>
      <c r="AO84" s="170"/>
      <c r="AQ84" s="167"/>
      <c r="AR84" s="167"/>
      <c r="AS84" s="167"/>
      <c r="AT84" s="170"/>
      <c r="AU84" s="170"/>
      <c r="AV84" s="170"/>
      <c r="AW84" s="170"/>
      <c r="AY84" s="167"/>
      <c r="AZ84" s="167"/>
      <c r="BA84" s="167"/>
      <c r="BB84" s="170"/>
      <c r="BC84" s="170"/>
      <c r="BD84" s="170"/>
      <c r="BE84" s="170"/>
      <c r="BG84" s="167"/>
      <c r="BH84" s="167"/>
      <c r="BI84" s="167"/>
      <c r="BJ84" s="170"/>
      <c r="BK84" s="170"/>
      <c r="BL84" s="170"/>
      <c r="BM84" s="170"/>
      <c r="BO84" s="167"/>
      <c r="BP84" s="167"/>
      <c r="BQ84" s="268"/>
      <c r="BR84" s="167"/>
      <c r="BS84" s="167"/>
      <c r="BT84" s="167"/>
      <c r="BU84" s="167"/>
      <c r="BV84" s="167"/>
      <c r="BW84" s="167"/>
      <c r="BX84" s="167"/>
      <c r="BY84" s="268"/>
      <c r="BZ84" s="170"/>
      <c r="CB84" s="167"/>
      <c r="CC84" s="167"/>
      <c r="CD84" s="268"/>
      <c r="CE84" s="167"/>
      <c r="CF84" s="167"/>
      <c r="CG84" s="167"/>
      <c r="CH84" s="167"/>
      <c r="CI84" s="167"/>
      <c r="CJ84" s="167"/>
      <c r="CK84" s="167"/>
      <c r="CL84" s="268"/>
      <c r="CM84" s="170"/>
    </row>
    <row r="85" spans="1:91" s="129" customFormat="1" ht="12.75">
      <c r="A85" s="199"/>
      <c r="B85" s="52" t="s">
        <v>84</v>
      </c>
      <c r="C85" s="149" t="s">
        <v>250</v>
      </c>
      <c r="D85" s="208" t="s">
        <v>52</v>
      </c>
      <c r="E85" s="206" t="s">
        <v>50</v>
      </c>
      <c r="F85" s="194"/>
      <c r="G85" s="161">
        <f t="shared" si="32"/>
        <v>0</v>
      </c>
      <c r="H85" s="53">
        <v>6739</v>
      </c>
      <c r="I85" s="149">
        <v>0.1</v>
      </c>
      <c r="J85" s="149">
        <v>0.3</v>
      </c>
      <c r="K85" s="149">
        <v>0.07</v>
      </c>
      <c r="L85" s="149">
        <v>0.4</v>
      </c>
      <c r="M85" s="150">
        <f t="shared" si="43"/>
        <v>12601.93</v>
      </c>
      <c r="N85" s="243">
        <f t="shared" si="33"/>
        <v>12602</v>
      </c>
      <c r="O85" s="149"/>
      <c r="P85" s="245">
        <f t="shared" si="34"/>
        <v>0</v>
      </c>
      <c r="Q85" s="153">
        <f t="shared" si="37"/>
        <v>0</v>
      </c>
      <c r="R85" s="52"/>
      <c r="S85" s="79">
        <f t="shared" si="35"/>
        <v>0</v>
      </c>
      <c r="T85" s="79"/>
      <c r="U85" s="153"/>
      <c r="V85" s="153"/>
      <c r="W85" s="153"/>
      <c r="X85" s="153">
        <f t="shared" si="38"/>
        <v>0</v>
      </c>
      <c r="Y85" s="164"/>
      <c r="Z85" s="153">
        <f t="shared" si="44"/>
        <v>0</v>
      </c>
      <c r="AA85" s="154">
        <f t="shared" si="39"/>
        <v>0</v>
      </c>
      <c r="AB85" s="153">
        <f t="shared" si="40"/>
        <v>0</v>
      </c>
      <c r="AC85" s="52"/>
      <c r="AD85" s="79"/>
      <c r="AE85" s="163">
        <f t="shared" si="41"/>
        <v>0</v>
      </c>
      <c r="AF85" s="153">
        <f t="shared" si="42"/>
        <v>0</v>
      </c>
      <c r="AG85" s="170"/>
      <c r="AI85" s="167"/>
      <c r="AJ85" s="167"/>
      <c r="AK85" s="167"/>
      <c r="AL85" s="170"/>
      <c r="AM85" s="170"/>
      <c r="AN85" s="170"/>
      <c r="AO85" s="170"/>
      <c r="AQ85" s="167"/>
      <c r="AR85" s="167"/>
      <c r="AS85" s="167"/>
      <c r="AT85" s="170"/>
      <c r="AU85" s="170"/>
      <c r="AV85" s="170"/>
      <c r="AW85" s="170"/>
      <c r="AY85" s="167"/>
      <c r="AZ85" s="167"/>
      <c r="BA85" s="167"/>
      <c r="BB85" s="170"/>
      <c r="BC85" s="170"/>
      <c r="BD85" s="170"/>
      <c r="BE85" s="170"/>
      <c r="BG85" s="167"/>
      <c r="BH85" s="167"/>
      <c r="BI85" s="167"/>
      <c r="BJ85" s="170"/>
      <c r="BK85" s="170"/>
      <c r="BL85" s="170"/>
      <c r="BM85" s="170"/>
      <c r="BO85" s="167"/>
      <c r="BP85" s="167"/>
      <c r="BQ85" s="268"/>
      <c r="BR85" s="167"/>
      <c r="BS85" s="167"/>
      <c r="BT85" s="167"/>
      <c r="BU85" s="167"/>
      <c r="BV85" s="167"/>
      <c r="BW85" s="167"/>
      <c r="BX85" s="167"/>
      <c r="BY85" s="268"/>
      <c r="BZ85" s="170"/>
      <c r="CB85" s="167"/>
      <c r="CC85" s="167"/>
      <c r="CD85" s="268"/>
      <c r="CE85" s="167"/>
      <c r="CF85" s="167"/>
      <c r="CG85" s="167"/>
      <c r="CH85" s="167"/>
      <c r="CI85" s="167"/>
      <c r="CJ85" s="167"/>
      <c r="CK85" s="167"/>
      <c r="CL85" s="268"/>
      <c r="CM85" s="170"/>
    </row>
    <row r="86" spans="1:91" s="50" customFormat="1" ht="12.75">
      <c r="A86" s="199"/>
      <c r="B86" s="52" t="s">
        <v>84</v>
      </c>
      <c r="C86" s="192" t="s">
        <v>266</v>
      </c>
      <c r="D86" s="208" t="s">
        <v>52</v>
      </c>
      <c r="E86" s="206" t="s">
        <v>230</v>
      </c>
      <c r="F86" s="194"/>
      <c r="G86" s="161">
        <f t="shared" si="32"/>
        <v>0</v>
      </c>
      <c r="H86" s="53">
        <v>6739</v>
      </c>
      <c r="I86" s="149">
        <v>0.1</v>
      </c>
      <c r="J86" s="149">
        <v>0.1</v>
      </c>
      <c r="K86" s="149">
        <v>0.07</v>
      </c>
      <c r="L86" s="149"/>
      <c r="M86" s="150">
        <f t="shared" si="43"/>
        <v>8558.530000000002</v>
      </c>
      <c r="N86" s="243">
        <f t="shared" si="33"/>
        <v>8559</v>
      </c>
      <c r="O86" s="119"/>
      <c r="P86" s="245">
        <f t="shared" si="34"/>
        <v>0</v>
      </c>
      <c r="Q86" s="153">
        <f t="shared" si="37"/>
        <v>0</v>
      </c>
      <c r="R86" s="52"/>
      <c r="S86" s="79">
        <f t="shared" si="35"/>
        <v>0</v>
      </c>
      <c r="T86" s="79"/>
      <c r="U86" s="153"/>
      <c r="V86" s="153"/>
      <c r="W86" s="153"/>
      <c r="X86" s="153">
        <f t="shared" si="38"/>
        <v>0</v>
      </c>
      <c r="Y86" s="164"/>
      <c r="Z86" s="153">
        <f t="shared" si="44"/>
        <v>0</v>
      </c>
      <c r="AA86" s="154">
        <f t="shared" si="39"/>
        <v>0</v>
      </c>
      <c r="AB86" s="153">
        <f t="shared" si="40"/>
        <v>0</v>
      </c>
      <c r="AC86" s="52"/>
      <c r="AD86" s="79"/>
      <c r="AE86" s="163">
        <f t="shared" si="41"/>
        <v>0</v>
      </c>
      <c r="AF86" s="153">
        <f t="shared" si="42"/>
        <v>0</v>
      </c>
      <c r="AG86" s="155"/>
      <c r="AI86" s="159"/>
      <c r="AJ86" s="159"/>
      <c r="AK86" s="159"/>
      <c r="AL86" s="155"/>
      <c r="AM86" s="155"/>
      <c r="AN86" s="155"/>
      <c r="AO86" s="155"/>
      <c r="AQ86" s="159"/>
      <c r="AR86" s="159"/>
      <c r="AS86" s="159"/>
      <c r="AT86" s="155"/>
      <c r="AU86" s="155"/>
      <c r="AV86" s="155"/>
      <c r="AW86" s="155"/>
      <c r="AY86" s="159"/>
      <c r="AZ86" s="159"/>
      <c r="BA86" s="159"/>
      <c r="BB86" s="155"/>
      <c r="BC86" s="155"/>
      <c r="BD86" s="155"/>
      <c r="BE86" s="155"/>
      <c r="BG86" s="159"/>
      <c r="BH86" s="159"/>
      <c r="BI86" s="159"/>
      <c r="BJ86" s="155"/>
      <c r="BK86" s="155"/>
      <c r="BL86" s="155"/>
      <c r="BM86" s="155"/>
      <c r="BO86" s="159"/>
      <c r="BP86" s="159"/>
      <c r="BQ86" s="168"/>
      <c r="BR86" s="159"/>
      <c r="BS86" s="159"/>
      <c r="BT86" s="159"/>
      <c r="BU86" s="159"/>
      <c r="BV86" s="159"/>
      <c r="BW86" s="159"/>
      <c r="BX86" s="159"/>
      <c r="BY86" s="168"/>
      <c r="BZ86" s="155"/>
      <c r="CB86" s="159"/>
      <c r="CC86" s="159"/>
      <c r="CD86" s="168"/>
      <c r="CE86" s="159"/>
      <c r="CF86" s="159"/>
      <c r="CG86" s="159"/>
      <c r="CH86" s="159"/>
      <c r="CI86" s="159"/>
      <c r="CJ86" s="159"/>
      <c r="CK86" s="159"/>
      <c r="CL86" s="168"/>
      <c r="CM86" s="155"/>
    </row>
    <row r="87" spans="1:91" s="50" customFormat="1" ht="12.75">
      <c r="A87" s="199"/>
      <c r="B87" s="52" t="s">
        <v>84</v>
      </c>
      <c r="C87" s="191" t="s">
        <v>253</v>
      </c>
      <c r="D87" s="208" t="s">
        <v>52</v>
      </c>
      <c r="E87" s="206" t="s">
        <v>50</v>
      </c>
      <c r="F87" s="194"/>
      <c r="G87" s="161">
        <f t="shared" si="32"/>
        <v>0</v>
      </c>
      <c r="H87" s="53">
        <v>6739</v>
      </c>
      <c r="I87" s="149">
        <v>0.1</v>
      </c>
      <c r="J87" s="149">
        <v>0.1</v>
      </c>
      <c r="K87" s="149">
        <v>0.07</v>
      </c>
      <c r="L87" s="149">
        <v>0.4</v>
      </c>
      <c r="M87" s="150">
        <f t="shared" si="43"/>
        <v>11254.130000000003</v>
      </c>
      <c r="N87" s="243">
        <f t="shared" si="33"/>
        <v>11254</v>
      </c>
      <c r="O87" s="149"/>
      <c r="P87" s="245">
        <f t="shared" si="34"/>
        <v>0</v>
      </c>
      <c r="Q87" s="153">
        <f t="shared" si="37"/>
        <v>0</v>
      </c>
      <c r="R87" s="52"/>
      <c r="S87" s="79">
        <f t="shared" si="35"/>
        <v>0</v>
      </c>
      <c r="T87" s="79"/>
      <c r="U87" s="153"/>
      <c r="V87" s="153"/>
      <c r="W87" s="153"/>
      <c r="X87" s="153">
        <f t="shared" si="38"/>
        <v>0</v>
      </c>
      <c r="Y87" s="164"/>
      <c r="Z87" s="153">
        <f t="shared" si="44"/>
        <v>0</v>
      </c>
      <c r="AA87" s="154">
        <f t="shared" si="39"/>
        <v>0</v>
      </c>
      <c r="AB87" s="153">
        <f t="shared" si="40"/>
        <v>0</v>
      </c>
      <c r="AC87" s="52"/>
      <c r="AD87" s="79"/>
      <c r="AE87" s="163">
        <f t="shared" si="41"/>
        <v>0</v>
      </c>
      <c r="AF87" s="153">
        <f t="shared" si="42"/>
        <v>0</v>
      </c>
      <c r="AG87" s="155"/>
      <c r="AI87" s="159"/>
      <c r="AJ87" s="159"/>
      <c r="AK87" s="159"/>
      <c r="AL87" s="155"/>
      <c r="AM87" s="155"/>
      <c r="AN87" s="155"/>
      <c r="AO87" s="155"/>
      <c r="AQ87" s="159"/>
      <c r="AR87" s="159"/>
      <c r="AS87" s="159"/>
      <c r="AT87" s="155"/>
      <c r="AU87" s="155"/>
      <c r="AV87" s="155"/>
      <c r="AW87" s="155"/>
      <c r="AY87" s="159"/>
      <c r="AZ87" s="159"/>
      <c r="BA87" s="159"/>
      <c r="BB87" s="155"/>
      <c r="BC87" s="155"/>
      <c r="BD87" s="155"/>
      <c r="BE87" s="155"/>
      <c r="BG87" s="159"/>
      <c r="BH87" s="159"/>
      <c r="BI87" s="159"/>
      <c r="BJ87" s="155"/>
      <c r="BK87" s="155"/>
      <c r="BL87" s="155"/>
      <c r="BM87" s="155"/>
      <c r="BO87" s="159"/>
      <c r="BP87" s="159"/>
      <c r="BQ87" s="168"/>
      <c r="BR87" s="159"/>
      <c r="BS87" s="159"/>
      <c r="BT87" s="159"/>
      <c r="BU87" s="159"/>
      <c r="BV87" s="159"/>
      <c r="BW87" s="159"/>
      <c r="BX87" s="159"/>
      <c r="BY87" s="168"/>
      <c r="BZ87" s="155"/>
      <c r="CB87" s="159"/>
      <c r="CC87" s="159"/>
      <c r="CD87" s="168"/>
      <c r="CE87" s="159"/>
      <c r="CF87" s="159"/>
      <c r="CG87" s="159"/>
      <c r="CH87" s="159"/>
      <c r="CI87" s="159"/>
      <c r="CJ87" s="159"/>
      <c r="CK87" s="159"/>
      <c r="CL87" s="168"/>
      <c r="CM87" s="155"/>
    </row>
    <row r="88" spans="1:91" s="129" customFormat="1" ht="12.75">
      <c r="A88" s="199"/>
      <c r="B88" s="52" t="s">
        <v>84</v>
      </c>
      <c r="C88" s="149" t="s">
        <v>255</v>
      </c>
      <c r="D88" s="208" t="s">
        <v>52</v>
      </c>
      <c r="E88" s="206"/>
      <c r="F88" s="194"/>
      <c r="G88" s="161">
        <f t="shared" si="32"/>
        <v>0</v>
      </c>
      <c r="H88" s="53">
        <v>6739</v>
      </c>
      <c r="I88" s="149">
        <v>0.1</v>
      </c>
      <c r="J88" s="149">
        <v>0.1</v>
      </c>
      <c r="K88" s="149">
        <v>0.07</v>
      </c>
      <c r="L88" s="149"/>
      <c r="M88" s="150">
        <f t="shared" si="43"/>
        <v>8558.530000000002</v>
      </c>
      <c r="N88" s="243">
        <f t="shared" si="33"/>
        <v>8559</v>
      </c>
      <c r="O88" s="149"/>
      <c r="P88" s="245">
        <f t="shared" si="34"/>
        <v>0</v>
      </c>
      <c r="Q88" s="153">
        <f t="shared" si="37"/>
        <v>0</v>
      </c>
      <c r="R88" s="52"/>
      <c r="S88" s="79">
        <f t="shared" si="35"/>
        <v>0</v>
      </c>
      <c r="T88" s="79"/>
      <c r="U88" s="153"/>
      <c r="V88" s="153"/>
      <c r="W88" s="153"/>
      <c r="X88" s="153">
        <f t="shared" si="38"/>
        <v>0</v>
      </c>
      <c r="Y88" s="164"/>
      <c r="Z88" s="153">
        <f t="shared" si="44"/>
        <v>0</v>
      </c>
      <c r="AA88" s="154">
        <f t="shared" si="39"/>
        <v>0</v>
      </c>
      <c r="AB88" s="153">
        <f t="shared" si="40"/>
        <v>0</v>
      </c>
      <c r="AC88" s="52"/>
      <c r="AD88" s="79"/>
      <c r="AE88" s="163">
        <f t="shared" si="41"/>
        <v>0</v>
      </c>
      <c r="AF88" s="153">
        <f t="shared" si="42"/>
        <v>0</v>
      </c>
      <c r="AG88" s="170"/>
      <c r="AI88" s="167"/>
      <c r="AJ88" s="167"/>
      <c r="AK88" s="167"/>
      <c r="AL88" s="170"/>
      <c r="AM88" s="170"/>
      <c r="AN88" s="170"/>
      <c r="AO88" s="170"/>
      <c r="AQ88" s="167"/>
      <c r="AR88" s="167"/>
      <c r="AS88" s="167"/>
      <c r="AT88" s="170"/>
      <c r="AU88" s="170"/>
      <c r="AV88" s="170"/>
      <c r="AW88" s="170"/>
      <c r="AY88" s="167"/>
      <c r="AZ88" s="167"/>
      <c r="BA88" s="167"/>
      <c r="BB88" s="170"/>
      <c r="BC88" s="170"/>
      <c r="BD88" s="170"/>
      <c r="BE88" s="170"/>
      <c r="BG88" s="167"/>
      <c r="BH88" s="167"/>
      <c r="BI88" s="167"/>
      <c r="BJ88" s="170"/>
      <c r="BK88" s="170"/>
      <c r="BL88" s="170"/>
      <c r="BM88" s="170"/>
      <c r="BO88" s="167"/>
      <c r="BP88" s="167"/>
      <c r="BQ88" s="268"/>
      <c r="BR88" s="167"/>
      <c r="BS88" s="167"/>
      <c r="BT88" s="167"/>
      <c r="BU88" s="167"/>
      <c r="BV88" s="167"/>
      <c r="BW88" s="167"/>
      <c r="BX88" s="167"/>
      <c r="BY88" s="268"/>
      <c r="BZ88" s="170"/>
      <c r="CB88" s="167"/>
      <c r="CC88" s="167"/>
      <c r="CD88" s="268"/>
      <c r="CE88" s="167"/>
      <c r="CF88" s="167"/>
      <c r="CG88" s="167"/>
      <c r="CH88" s="167"/>
      <c r="CI88" s="167"/>
      <c r="CJ88" s="167"/>
      <c r="CK88" s="167"/>
      <c r="CL88" s="268"/>
      <c r="CM88" s="170"/>
    </row>
    <row r="89" spans="1:91" s="50" customFormat="1" ht="12.75">
      <c r="A89" s="199"/>
      <c r="B89" s="52" t="s">
        <v>84</v>
      </c>
      <c r="C89" s="149" t="s">
        <v>297</v>
      </c>
      <c r="D89" s="208" t="s">
        <v>52</v>
      </c>
      <c r="E89" s="206" t="s">
        <v>50</v>
      </c>
      <c r="F89" s="194"/>
      <c r="G89" s="161">
        <f t="shared" si="32"/>
        <v>0</v>
      </c>
      <c r="H89" s="53">
        <v>6739</v>
      </c>
      <c r="I89" s="149">
        <v>0.1</v>
      </c>
      <c r="J89" s="149">
        <v>0.2</v>
      </c>
      <c r="K89" s="149">
        <v>0.07</v>
      </c>
      <c r="L89" s="149">
        <v>0.4</v>
      </c>
      <c r="M89" s="150">
        <f t="shared" si="43"/>
        <v>11928.03</v>
      </c>
      <c r="N89" s="243">
        <f t="shared" si="33"/>
        <v>11928</v>
      </c>
      <c r="O89" s="149"/>
      <c r="P89" s="245">
        <f t="shared" si="34"/>
        <v>0</v>
      </c>
      <c r="Q89" s="153">
        <f t="shared" si="37"/>
        <v>0</v>
      </c>
      <c r="R89" s="52"/>
      <c r="S89" s="79">
        <f t="shared" si="35"/>
        <v>0</v>
      </c>
      <c r="T89" s="79"/>
      <c r="U89" s="153"/>
      <c r="V89" s="153"/>
      <c r="W89" s="153"/>
      <c r="X89" s="153">
        <f t="shared" si="38"/>
        <v>0</v>
      </c>
      <c r="Y89" s="164"/>
      <c r="Z89" s="153">
        <f t="shared" si="44"/>
        <v>0</v>
      </c>
      <c r="AA89" s="154">
        <f t="shared" si="39"/>
        <v>0</v>
      </c>
      <c r="AB89" s="153">
        <f t="shared" si="40"/>
        <v>0</v>
      </c>
      <c r="AC89" s="52"/>
      <c r="AD89" s="79"/>
      <c r="AE89" s="163">
        <f t="shared" si="41"/>
        <v>0</v>
      </c>
      <c r="AF89" s="153">
        <f t="shared" si="42"/>
        <v>0</v>
      </c>
      <c r="AG89" s="155"/>
      <c r="AI89" s="159"/>
      <c r="AJ89" s="159"/>
      <c r="AK89" s="159"/>
      <c r="AL89" s="155"/>
      <c r="AM89" s="155"/>
      <c r="AN89" s="155"/>
      <c r="AO89" s="155"/>
      <c r="AQ89" s="159"/>
      <c r="AR89" s="159"/>
      <c r="AS89" s="159"/>
      <c r="AT89" s="155"/>
      <c r="AU89" s="155"/>
      <c r="AV89" s="155"/>
      <c r="AW89" s="155"/>
      <c r="AY89" s="159"/>
      <c r="AZ89" s="159"/>
      <c r="BA89" s="159"/>
      <c r="BB89" s="155"/>
      <c r="BC89" s="155"/>
      <c r="BD89" s="155"/>
      <c r="BE89" s="155"/>
      <c r="BG89" s="159"/>
      <c r="BH89" s="159"/>
      <c r="BI89" s="159"/>
      <c r="BJ89" s="155"/>
      <c r="BK89" s="155"/>
      <c r="BL89" s="155"/>
      <c r="BM89" s="155"/>
      <c r="BO89" s="159"/>
      <c r="BP89" s="159"/>
      <c r="BQ89" s="168"/>
      <c r="BR89" s="159"/>
      <c r="BS89" s="159"/>
      <c r="BT89" s="159"/>
      <c r="BU89" s="159"/>
      <c r="BV89" s="159"/>
      <c r="BW89" s="159"/>
      <c r="BX89" s="159"/>
      <c r="BY89" s="168"/>
      <c r="BZ89" s="155"/>
      <c r="CB89" s="159"/>
      <c r="CC89" s="159"/>
      <c r="CD89" s="168"/>
      <c r="CE89" s="159"/>
      <c r="CF89" s="159"/>
      <c r="CG89" s="159"/>
      <c r="CH89" s="159"/>
      <c r="CI89" s="159"/>
      <c r="CJ89" s="159"/>
      <c r="CK89" s="159"/>
      <c r="CL89" s="168"/>
      <c r="CM89" s="155"/>
    </row>
    <row r="90" spans="1:91" s="50" customFormat="1" ht="12.75">
      <c r="A90" s="199"/>
      <c r="B90" s="52" t="s">
        <v>84</v>
      </c>
      <c r="C90" s="149" t="s">
        <v>236</v>
      </c>
      <c r="D90" s="208" t="s">
        <v>52</v>
      </c>
      <c r="E90" s="206" t="s">
        <v>51</v>
      </c>
      <c r="F90" s="194"/>
      <c r="G90" s="161">
        <f t="shared" si="32"/>
        <v>0</v>
      </c>
      <c r="H90" s="53">
        <v>6739</v>
      </c>
      <c r="I90" s="149">
        <v>0.1</v>
      </c>
      <c r="J90" s="149">
        <v>0.3</v>
      </c>
      <c r="K90" s="149">
        <v>0.07</v>
      </c>
      <c r="L90" s="149">
        <v>0.8</v>
      </c>
      <c r="M90" s="150">
        <f aca="true" t="shared" si="45" ref="M90:M101">H90*(1+I90+J90+K90+L90)</f>
        <v>15297.530000000002</v>
      </c>
      <c r="N90" s="243">
        <f t="shared" si="33"/>
        <v>15298</v>
      </c>
      <c r="O90" s="149"/>
      <c r="P90" s="245">
        <f t="shared" si="34"/>
        <v>0</v>
      </c>
      <c r="Q90" s="153">
        <f t="shared" si="37"/>
        <v>0</v>
      </c>
      <c r="R90" s="52"/>
      <c r="S90" s="79">
        <f t="shared" si="35"/>
        <v>0</v>
      </c>
      <c r="T90" s="79"/>
      <c r="U90" s="153"/>
      <c r="V90" s="153"/>
      <c r="W90" s="153"/>
      <c r="X90" s="153">
        <f t="shared" si="38"/>
        <v>0</v>
      </c>
      <c r="Y90" s="164"/>
      <c r="Z90" s="153">
        <f t="shared" si="44"/>
        <v>0</v>
      </c>
      <c r="AA90" s="154">
        <f t="shared" si="39"/>
        <v>0</v>
      </c>
      <c r="AB90" s="153">
        <f t="shared" si="40"/>
        <v>0</v>
      </c>
      <c r="AC90" s="52"/>
      <c r="AD90" s="79"/>
      <c r="AE90" s="163">
        <f t="shared" si="41"/>
        <v>0</v>
      </c>
      <c r="AF90" s="153">
        <f t="shared" si="42"/>
        <v>0</v>
      </c>
      <c r="AG90" s="155"/>
      <c r="AI90" s="159"/>
      <c r="AJ90" s="159"/>
      <c r="AK90" s="159"/>
      <c r="AL90" s="155"/>
      <c r="AM90" s="155"/>
      <c r="AN90" s="155"/>
      <c r="AO90" s="155"/>
      <c r="AQ90" s="159"/>
      <c r="AR90" s="159"/>
      <c r="AS90" s="159"/>
      <c r="AT90" s="155"/>
      <c r="AU90" s="155"/>
      <c r="AV90" s="155"/>
      <c r="AW90" s="155"/>
      <c r="AY90" s="159"/>
      <c r="AZ90" s="159"/>
      <c r="BA90" s="159"/>
      <c r="BB90" s="155"/>
      <c r="BC90" s="155"/>
      <c r="BD90" s="155"/>
      <c r="BE90" s="155"/>
      <c r="BG90" s="159"/>
      <c r="BH90" s="159"/>
      <c r="BI90" s="159"/>
      <c r="BJ90" s="155"/>
      <c r="BK90" s="155"/>
      <c r="BL90" s="155"/>
      <c r="BM90" s="155"/>
      <c r="BO90" s="159"/>
      <c r="BP90" s="159"/>
      <c r="BQ90" s="168"/>
      <c r="BR90" s="159"/>
      <c r="BS90" s="159"/>
      <c r="BT90" s="159"/>
      <c r="BU90" s="159"/>
      <c r="BV90" s="159"/>
      <c r="BW90" s="159"/>
      <c r="BX90" s="159"/>
      <c r="BY90" s="168"/>
      <c r="BZ90" s="155"/>
      <c r="CB90" s="159"/>
      <c r="CC90" s="159"/>
      <c r="CD90" s="168"/>
      <c r="CE90" s="159"/>
      <c r="CF90" s="159"/>
      <c r="CG90" s="159"/>
      <c r="CH90" s="159"/>
      <c r="CI90" s="159"/>
      <c r="CJ90" s="159"/>
      <c r="CK90" s="159"/>
      <c r="CL90" s="168"/>
      <c r="CM90" s="155"/>
    </row>
    <row r="91" spans="1:91" s="50" customFormat="1" ht="12.75">
      <c r="A91" s="199"/>
      <c r="B91" s="52" t="s">
        <v>194</v>
      </c>
      <c r="C91" s="149">
        <v>0</v>
      </c>
      <c r="D91" s="208" t="s">
        <v>38</v>
      </c>
      <c r="E91" s="206"/>
      <c r="F91" s="194"/>
      <c r="G91" s="161">
        <f t="shared" si="32"/>
        <v>0</v>
      </c>
      <c r="H91" s="53">
        <v>6739</v>
      </c>
      <c r="I91" s="149"/>
      <c r="J91" s="149">
        <v>0</v>
      </c>
      <c r="K91" s="149">
        <v>0.07</v>
      </c>
      <c r="L91" s="149">
        <v>0.2</v>
      </c>
      <c r="M91" s="150">
        <f t="shared" si="45"/>
        <v>8558.53</v>
      </c>
      <c r="N91" s="243">
        <f t="shared" si="33"/>
        <v>8559</v>
      </c>
      <c r="O91" s="149"/>
      <c r="P91" s="245">
        <f t="shared" si="34"/>
        <v>0</v>
      </c>
      <c r="Q91" s="153">
        <f t="shared" si="37"/>
        <v>0</v>
      </c>
      <c r="R91" s="52"/>
      <c r="S91" s="79">
        <f t="shared" si="35"/>
        <v>0</v>
      </c>
      <c r="T91" s="79"/>
      <c r="U91" s="153"/>
      <c r="V91" s="153"/>
      <c r="W91" s="153"/>
      <c r="X91" s="153">
        <f t="shared" si="38"/>
        <v>0</v>
      </c>
      <c r="Y91" s="164"/>
      <c r="Z91" s="153">
        <f t="shared" si="44"/>
        <v>0</v>
      </c>
      <c r="AA91" s="154">
        <f t="shared" si="39"/>
        <v>0</v>
      </c>
      <c r="AB91" s="153">
        <f t="shared" si="40"/>
        <v>0</v>
      </c>
      <c r="AC91" s="52"/>
      <c r="AD91" s="79"/>
      <c r="AE91" s="163">
        <f t="shared" si="41"/>
        <v>0</v>
      </c>
      <c r="AF91" s="153">
        <f t="shared" si="42"/>
        <v>0</v>
      </c>
      <c r="AG91" s="155"/>
      <c r="AI91" s="159"/>
      <c r="AJ91" s="159"/>
      <c r="AK91" s="159"/>
      <c r="AL91" s="155"/>
      <c r="AM91" s="155"/>
      <c r="AN91" s="155"/>
      <c r="AO91" s="155"/>
      <c r="AQ91" s="159"/>
      <c r="AR91" s="159"/>
      <c r="AS91" s="159"/>
      <c r="AT91" s="155"/>
      <c r="AU91" s="155"/>
      <c r="AV91" s="155"/>
      <c r="AW91" s="155"/>
      <c r="AY91" s="159"/>
      <c r="AZ91" s="159"/>
      <c r="BA91" s="159"/>
      <c r="BB91" s="155"/>
      <c r="BC91" s="155"/>
      <c r="BD91" s="155"/>
      <c r="BE91" s="155"/>
      <c r="BG91" s="159"/>
      <c r="BH91" s="159"/>
      <c r="BI91" s="159"/>
      <c r="BJ91" s="155"/>
      <c r="BK91" s="155"/>
      <c r="BL91" s="155"/>
      <c r="BM91" s="155"/>
      <c r="BO91" s="159"/>
      <c r="BP91" s="159"/>
      <c r="BQ91" s="168"/>
      <c r="BR91" s="159"/>
      <c r="BS91" s="159"/>
      <c r="BT91" s="159"/>
      <c r="BU91" s="159"/>
      <c r="BV91" s="159"/>
      <c r="BW91" s="159"/>
      <c r="BX91" s="159"/>
      <c r="BY91" s="168"/>
      <c r="BZ91" s="155"/>
      <c r="CB91" s="159"/>
      <c r="CC91" s="159"/>
      <c r="CD91" s="168"/>
      <c r="CE91" s="159"/>
      <c r="CF91" s="159"/>
      <c r="CG91" s="159"/>
      <c r="CH91" s="159"/>
      <c r="CI91" s="159"/>
      <c r="CJ91" s="159"/>
      <c r="CK91" s="159"/>
      <c r="CL91" s="168"/>
      <c r="CM91" s="155"/>
    </row>
    <row r="92" spans="1:91" s="50" customFormat="1" ht="12.75">
      <c r="A92" s="199"/>
      <c r="B92" s="52" t="s">
        <v>84</v>
      </c>
      <c r="C92" s="149" t="s">
        <v>279</v>
      </c>
      <c r="D92" s="208" t="s">
        <v>38</v>
      </c>
      <c r="E92" s="206" t="s">
        <v>50</v>
      </c>
      <c r="F92" s="194"/>
      <c r="G92" s="161">
        <f t="shared" si="32"/>
        <v>0</v>
      </c>
      <c r="H92" s="53">
        <v>6739</v>
      </c>
      <c r="I92" s="149">
        <v>0.1</v>
      </c>
      <c r="J92" s="149">
        <v>0.3</v>
      </c>
      <c r="K92" s="149">
        <v>0.07</v>
      </c>
      <c r="L92" s="149">
        <v>0.4</v>
      </c>
      <c r="M92" s="150">
        <f t="shared" si="45"/>
        <v>12601.93</v>
      </c>
      <c r="N92" s="243">
        <f t="shared" si="33"/>
        <v>12602</v>
      </c>
      <c r="O92" s="149"/>
      <c r="P92" s="245">
        <f t="shared" si="34"/>
        <v>0</v>
      </c>
      <c r="Q92" s="153">
        <f t="shared" si="37"/>
        <v>0</v>
      </c>
      <c r="R92" s="52"/>
      <c r="S92" s="79">
        <f t="shared" si="35"/>
        <v>0</v>
      </c>
      <c r="T92" s="79"/>
      <c r="U92" s="153"/>
      <c r="V92" s="153"/>
      <c r="W92" s="153"/>
      <c r="X92" s="153">
        <f t="shared" si="38"/>
        <v>0</v>
      </c>
      <c r="Y92" s="164"/>
      <c r="Z92" s="153">
        <f t="shared" si="44"/>
        <v>0</v>
      </c>
      <c r="AA92" s="154">
        <f t="shared" si="39"/>
        <v>0</v>
      </c>
      <c r="AB92" s="153">
        <f t="shared" si="40"/>
        <v>0</v>
      </c>
      <c r="AC92" s="52"/>
      <c r="AD92" s="79"/>
      <c r="AE92" s="163">
        <f t="shared" si="41"/>
        <v>0</v>
      </c>
      <c r="AF92" s="153">
        <f t="shared" si="42"/>
        <v>0</v>
      </c>
      <c r="AG92" s="155"/>
      <c r="AI92" s="159"/>
      <c r="AJ92" s="159"/>
      <c r="AK92" s="159"/>
      <c r="AL92" s="155"/>
      <c r="AM92" s="155"/>
      <c r="AN92" s="155"/>
      <c r="AO92" s="155"/>
      <c r="AQ92" s="159"/>
      <c r="AR92" s="159"/>
      <c r="AS92" s="159"/>
      <c r="AT92" s="155"/>
      <c r="AU92" s="155"/>
      <c r="AV92" s="155"/>
      <c r="AW92" s="155"/>
      <c r="AY92" s="159"/>
      <c r="AZ92" s="159"/>
      <c r="BA92" s="159"/>
      <c r="BB92" s="155"/>
      <c r="BC92" s="155"/>
      <c r="BD92" s="155"/>
      <c r="BE92" s="155"/>
      <c r="BG92" s="159"/>
      <c r="BH92" s="159"/>
      <c r="BI92" s="159"/>
      <c r="BJ92" s="155"/>
      <c r="BK92" s="155"/>
      <c r="BL92" s="155"/>
      <c r="BM92" s="155"/>
      <c r="BO92" s="159"/>
      <c r="BP92" s="159"/>
      <c r="BQ92" s="168"/>
      <c r="BR92" s="159"/>
      <c r="BS92" s="159"/>
      <c r="BT92" s="159"/>
      <c r="BU92" s="159"/>
      <c r="BV92" s="159"/>
      <c r="BW92" s="159"/>
      <c r="BX92" s="159"/>
      <c r="BY92" s="168"/>
      <c r="BZ92" s="155"/>
      <c r="CB92" s="159"/>
      <c r="CC92" s="159"/>
      <c r="CD92" s="168"/>
      <c r="CE92" s="159"/>
      <c r="CF92" s="159"/>
      <c r="CG92" s="159"/>
      <c r="CH92" s="159"/>
      <c r="CI92" s="159"/>
      <c r="CJ92" s="159"/>
      <c r="CK92" s="159"/>
      <c r="CL92" s="168"/>
      <c r="CM92" s="155"/>
    </row>
    <row r="93" spans="1:91" s="50" customFormat="1" ht="12.75">
      <c r="A93" s="199"/>
      <c r="B93" s="52" t="s">
        <v>84</v>
      </c>
      <c r="C93" s="149" t="s">
        <v>280</v>
      </c>
      <c r="D93" s="208" t="s">
        <v>38</v>
      </c>
      <c r="E93" s="206" t="s">
        <v>50</v>
      </c>
      <c r="F93" s="194"/>
      <c r="G93" s="161">
        <f t="shared" si="32"/>
        <v>0</v>
      </c>
      <c r="H93" s="53">
        <v>6739</v>
      </c>
      <c r="I93" s="149">
        <v>0.1</v>
      </c>
      <c r="J93" s="149">
        <v>0.2</v>
      </c>
      <c r="K93" s="149">
        <v>0.07</v>
      </c>
      <c r="L93" s="149">
        <v>0.4</v>
      </c>
      <c r="M93" s="150">
        <f t="shared" si="45"/>
        <v>11928.03</v>
      </c>
      <c r="N93" s="243">
        <f t="shared" si="33"/>
        <v>11928</v>
      </c>
      <c r="O93" s="149"/>
      <c r="P93" s="245">
        <f t="shared" si="34"/>
        <v>0</v>
      </c>
      <c r="Q93" s="153">
        <f t="shared" si="37"/>
        <v>0</v>
      </c>
      <c r="R93" s="52"/>
      <c r="S93" s="79">
        <f t="shared" si="35"/>
        <v>0</v>
      </c>
      <c r="T93" s="79"/>
      <c r="U93" s="153"/>
      <c r="V93" s="153"/>
      <c r="W93" s="153"/>
      <c r="X93" s="153">
        <f t="shared" si="38"/>
        <v>0</v>
      </c>
      <c r="Y93" s="164"/>
      <c r="Z93" s="153">
        <f t="shared" si="44"/>
        <v>0</v>
      </c>
      <c r="AA93" s="154">
        <f t="shared" si="39"/>
        <v>0</v>
      </c>
      <c r="AB93" s="153">
        <f t="shared" si="40"/>
        <v>0</v>
      </c>
      <c r="AC93" s="52"/>
      <c r="AD93" s="79"/>
      <c r="AE93" s="163">
        <f t="shared" si="41"/>
        <v>0</v>
      </c>
      <c r="AF93" s="153">
        <f t="shared" si="42"/>
        <v>0</v>
      </c>
      <c r="AG93" s="155"/>
      <c r="AI93" s="159"/>
      <c r="AJ93" s="159"/>
      <c r="AK93" s="159"/>
      <c r="AL93" s="155"/>
      <c r="AM93" s="155"/>
      <c r="AN93" s="155"/>
      <c r="AO93" s="155"/>
      <c r="AQ93" s="159"/>
      <c r="AR93" s="159"/>
      <c r="AS93" s="159"/>
      <c r="AT93" s="155"/>
      <c r="AU93" s="155"/>
      <c r="AV93" s="155"/>
      <c r="AW93" s="155"/>
      <c r="AY93" s="159"/>
      <c r="AZ93" s="159"/>
      <c r="BA93" s="159"/>
      <c r="BB93" s="155"/>
      <c r="BC93" s="155"/>
      <c r="BD93" s="155"/>
      <c r="BE93" s="155"/>
      <c r="BG93" s="159"/>
      <c r="BH93" s="159"/>
      <c r="BI93" s="159"/>
      <c r="BJ93" s="155"/>
      <c r="BK93" s="155"/>
      <c r="BL93" s="155"/>
      <c r="BM93" s="155"/>
      <c r="BO93" s="159"/>
      <c r="BP93" s="159"/>
      <c r="BQ93" s="168"/>
      <c r="BR93" s="159"/>
      <c r="BS93" s="159"/>
      <c r="BT93" s="159"/>
      <c r="BU93" s="159"/>
      <c r="BV93" s="159"/>
      <c r="BW93" s="159"/>
      <c r="BX93" s="159"/>
      <c r="BY93" s="168"/>
      <c r="BZ93" s="155"/>
      <c r="CB93" s="159"/>
      <c r="CC93" s="159"/>
      <c r="CD93" s="168"/>
      <c r="CE93" s="159"/>
      <c r="CF93" s="159"/>
      <c r="CG93" s="159"/>
      <c r="CH93" s="159"/>
      <c r="CI93" s="159"/>
      <c r="CJ93" s="159"/>
      <c r="CK93" s="159"/>
      <c r="CL93" s="168"/>
      <c r="CM93" s="155"/>
    </row>
    <row r="94" spans="1:91" s="50" customFormat="1" ht="12.75">
      <c r="A94" s="199"/>
      <c r="B94" s="52" t="s">
        <v>84</v>
      </c>
      <c r="C94" s="149" t="s">
        <v>281</v>
      </c>
      <c r="D94" s="208" t="s">
        <v>38</v>
      </c>
      <c r="E94" s="206" t="s">
        <v>50</v>
      </c>
      <c r="F94" s="194"/>
      <c r="G94" s="161">
        <f t="shared" si="32"/>
        <v>0</v>
      </c>
      <c r="H94" s="53">
        <v>6739</v>
      </c>
      <c r="I94" s="149">
        <v>0.1</v>
      </c>
      <c r="J94" s="149">
        <v>0.1</v>
      </c>
      <c r="K94" s="149">
        <v>0.07</v>
      </c>
      <c r="L94" s="149">
        <v>0.4</v>
      </c>
      <c r="M94" s="150">
        <f t="shared" si="45"/>
        <v>11254.130000000003</v>
      </c>
      <c r="N94" s="243">
        <f t="shared" si="33"/>
        <v>11254</v>
      </c>
      <c r="O94" s="149"/>
      <c r="P94" s="245">
        <f t="shared" si="34"/>
        <v>0</v>
      </c>
      <c r="Q94" s="153">
        <f t="shared" si="37"/>
        <v>0</v>
      </c>
      <c r="R94" s="52"/>
      <c r="S94" s="79">
        <f t="shared" si="35"/>
        <v>0</v>
      </c>
      <c r="T94" s="79"/>
      <c r="U94" s="153"/>
      <c r="V94" s="153"/>
      <c r="W94" s="153"/>
      <c r="X94" s="153">
        <f t="shared" si="38"/>
        <v>0</v>
      </c>
      <c r="Y94" s="164"/>
      <c r="Z94" s="153">
        <f t="shared" si="44"/>
        <v>0</v>
      </c>
      <c r="AA94" s="154">
        <f t="shared" si="39"/>
        <v>0</v>
      </c>
      <c r="AB94" s="153">
        <f t="shared" si="40"/>
        <v>0</v>
      </c>
      <c r="AC94" s="52"/>
      <c r="AD94" s="79"/>
      <c r="AE94" s="163">
        <f t="shared" si="41"/>
        <v>0</v>
      </c>
      <c r="AF94" s="153">
        <f t="shared" si="42"/>
        <v>0</v>
      </c>
      <c r="AG94" s="155"/>
      <c r="AI94" s="159"/>
      <c r="AJ94" s="159"/>
      <c r="AK94" s="159"/>
      <c r="AL94" s="155"/>
      <c r="AM94" s="155"/>
      <c r="AN94" s="155"/>
      <c r="AO94" s="155"/>
      <c r="AQ94" s="159"/>
      <c r="AR94" s="159"/>
      <c r="AS94" s="159"/>
      <c r="AT94" s="155"/>
      <c r="AU94" s="155"/>
      <c r="AV94" s="155"/>
      <c r="AW94" s="155"/>
      <c r="AY94" s="159"/>
      <c r="AZ94" s="159"/>
      <c r="BA94" s="159"/>
      <c r="BB94" s="155"/>
      <c r="BC94" s="155"/>
      <c r="BD94" s="155"/>
      <c r="BE94" s="155"/>
      <c r="BG94" s="159"/>
      <c r="BH94" s="159"/>
      <c r="BI94" s="159"/>
      <c r="BJ94" s="155"/>
      <c r="BK94" s="155"/>
      <c r="BL94" s="155"/>
      <c r="BM94" s="155"/>
      <c r="BO94" s="159"/>
      <c r="BP94" s="159"/>
      <c r="BQ94" s="168"/>
      <c r="BR94" s="159"/>
      <c r="BS94" s="159"/>
      <c r="BT94" s="159"/>
      <c r="BU94" s="159"/>
      <c r="BV94" s="159"/>
      <c r="BW94" s="159"/>
      <c r="BX94" s="159"/>
      <c r="BY94" s="168"/>
      <c r="BZ94" s="155"/>
      <c r="CB94" s="159"/>
      <c r="CC94" s="159"/>
      <c r="CD94" s="168"/>
      <c r="CE94" s="159"/>
      <c r="CF94" s="159"/>
      <c r="CG94" s="159"/>
      <c r="CH94" s="159"/>
      <c r="CI94" s="159"/>
      <c r="CJ94" s="159"/>
      <c r="CK94" s="159"/>
      <c r="CL94" s="168"/>
      <c r="CM94" s="155"/>
    </row>
    <row r="95" spans="1:91" s="50" customFormat="1" ht="12.75">
      <c r="A95" s="199"/>
      <c r="B95" s="52" t="s">
        <v>84</v>
      </c>
      <c r="C95" s="149" t="s">
        <v>282</v>
      </c>
      <c r="D95" s="208" t="s">
        <v>38</v>
      </c>
      <c r="E95" s="206" t="s">
        <v>230</v>
      </c>
      <c r="F95" s="194"/>
      <c r="G95" s="161">
        <f>F95/30</f>
        <v>0</v>
      </c>
      <c r="H95" s="53">
        <v>6739</v>
      </c>
      <c r="I95" s="149">
        <v>0.1</v>
      </c>
      <c r="J95" s="149">
        <v>0.1</v>
      </c>
      <c r="K95" s="149">
        <v>0.07</v>
      </c>
      <c r="L95" s="149"/>
      <c r="M95" s="150">
        <f>H95*(1+I95+J95+K95+L95)</f>
        <v>8558.530000000002</v>
      </c>
      <c r="N95" s="243">
        <f t="shared" si="33"/>
        <v>8559</v>
      </c>
      <c r="O95" s="149"/>
      <c r="P95" s="245">
        <f>ROUND(N95*O95,2)</f>
        <v>0</v>
      </c>
      <c r="Q95" s="153">
        <f t="shared" si="37"/>
        <v>0</v>
      </c>
      <c r="R95" s="52"/>
      <c r="S95" s="79">
        <f t="shared" si="35"/>
        <v>0</v>
      </c>
      <c r="T95" s="79"/>
      <c r="U95" s="153"/>
      <c r="V95" s="153"/>
      <c r="W95" s="153"/>
      <c r="X95" s="153">
        <f>Q95+S95+U95+V95+W95</f>
        <v>0</v>
      </c>
      <c r="Y95" s="164"/>
      <c r="Z95" s="153">
        <f>P95/30*Y95</f>
        <v>0</v>
      </c>
      <c r="AA95" s="154">
        <f>F95</f>
        <v>0</v>
      </c>
      <c r="AB95" s="153">
        <f>Q95</f>
        <v>0</v>
      </c>
      <c r="AC95" s="52"/>
      <c r="AD95" s="79"/>
      <c r="AE95" s="163">
        <f>Y95+AA95+AC95</f>
        <v>0</v>
      </c>
      <c r="AF95" s="153">
        <f>Z95+AB95+AD95</f>
        <v>0</v>
      </c>
      <c r="AG95" s="155"/>
      <c r="AI95" s="159"/>
      <c r="AJ95" s="159"/>
      <c r="AK95" s="159"/>
      <c r="AL95" s="155"/>
      <c r="AM95" s="155"/>
      <c r="AN95" s="155"/>
      <c r="AO95" s="155"/>
      <c r="AQ95" s="159"/>
      <c r="AR95" s="159"/>
      <c r="AS95" s="159"/>
      <c r="AT95" s="155"/>
      <c r="AU95" s="155"/>
      <c r="AV95" s="155"/>
      <c r="AW95" s="155"/>
      <c r="AY95" s="159"/>
      <c r="AZ95" s="159"/>
      <c r="BA95" s="159"/>
      <c r="BB95" s="155"/>
      <c r="BC95" s="155"/>
      <c r="BD95" s="155"/>
      <c r="BE95" s="155"/>
      <c r="BG95" s="159"/>
      <c r="BH95" s="159"/>
      <c r="BI95" s="159"/>
      <c r="BJ95" s="155"/>
      <c r="BK95" s="155"/>
      <c r="BL95" s="155"/>
      <c r="BM95" s="155"/>
      <c r="BO95" s="159"/>
      <c r="BP95" s="159"/>
      <c r="BQ95" s="168"/>
      <c r="BR95" s="159"/>
      <c r="BS95" s="159"/>
      <c r="BT95" s="159"/>
      <c r="BU95" s="159"/>
      <c r="BV95" s="159"/>
      <c r="BW95" s="159"/>
      <c r="BX95" s="159"/>
      <c r="BY95" s="168"/>
      <c r="BZ95" s="155"/>
      <c r="CB95" s="159"/>
      <c r="CC95" s="159"/>
      <c r="CD95" s="168"/>
      <c r="CE95" s="159"/>
      <c r="CF95" s="159"/>
      <c r="CG95" s="159"/>
      <c r="CH95" s="159"/>
      <c r="CI95" s="159"/>
      <c r="CJ95" s="159"/>
      <c r="CK95" s="159"/>
      <c r="CL95" s="168"/>
      <c r="CM95" s="155"/>
    </row>
    <row r="96" spans="1:91" s="50" customFormat="1" ht="12.75">
      <c r="A96" s="199"/>
      <c r="B96" s="52" t="s">
        <v>84</v>
      </c>
      <c r="C96" s="149" t="s">
        <v>261</v>
      </c>
      <c r="D96" s="208" t="s">
        <v>52</v>
      </c>
      <c r="E96" s="206" t="s">
        <v>50</v>
      </c>
      <c r="F96" s="194"/>
      <c r="G96" s="161">
        <f t="shared" si="32"/>
        <v>0</v>
      </c>
      <c r="H96" s="53">
        <v>6739</v>
      </c>
      <c r="I96" s="149">
        <v>0.1</v>
      </c>
      <c r="J96" s="149">
        <v>0.2</v>
      </c>
      <c r="K96" s="149">
        <v>0.07</v>
      </c>
      <c r="L96" s="149">
        <v>0.4</v>
      </c>
      <c r="M96" s="150">
        <f t="shared" si="45"/>
        <v>11928.03</v>
      </c>
      <c r="N96" s="243">
        <f t="shared" si="33"/>
        <v>11928</v>
      </c>
      <c r="O96" s="149"/>
      <c r="P96" s="245">
        <f t="shared" si="34"/>
        <v>0</v>
      </c>
      <c r="Q96" s="153">
        <f t="shared" si="37"/>
        <v>0</v>
      </c>
      <c r="R96" s="52"/>
      <c r="S96" s="79">
        <f t="shared" si="35"/>
        <v>0</v>
      </c>
      <c r="T96" s="79"/>
      <c r="U96" s="153"/>
      <c r="V96" s="153"/>
      <c r="W96" s="153"/>
      <c r="X96" s="153">
        <f t="shared" si="38"/>
        <v>0</v>
      </c>
      <c r="Y96" s="164"/>
      <c r="Z96" s="153">
        <f t="shared" si="44"/>
        <v>0</v>
      </c>
      <c r="AA96" s="154">
        <f t="shared" si="39"/>
        <v>0</v>
      </c>
      <c r="AB96" s="153">
        <f t="shared" si="40"/>
        <v>0</v>
      </c>
      <c r="AC96" s="52"/>
      <c r="AD96" s="79"/>
      <c r="AE96" s="163">
        <f t="shared" si="41"/>
        <v>0</v>
      </c>
      <c r="AF96" s="153">
        <f t="shared" si="42"/>
        <v>0</v>
      </c>
      <c r="AG96" s="155"/>
      <c r="AI96" s="159"/>
      <c r="AJ96" s="159"/>
      <c r="AK96" s="159"/>
      <c r="AL96" s="155"/>
      <c r="AM96" s="155"/>
      <c r="AN96" s="155"/>
      <c r="AO96" s="155"/>
      <c r="AQ96" s="159"/>
      <c r="AR96" s="159"/>
      <c r="AS96" s="159"/>
      <c r="AT96" s="155"/>
      <c r="AU96" s="155"/>
      <c r="AV96" s="155"/>
      <c r="AW96" s="155"/>
      <c r="AY96" s="159"/>
      <c r="AZ96" s="159"/>
      <c r="BA96" s="159"/>
      <c r="BB96" s="155"/>
      <c r="BC96" s="155"/>
      <c r="BD96" s="155"/>
      <c r="BE96" s="155"/>
      <c r="BG96" s="159"/>
      <c r="BH96" s="159"/>
      <c r="BI96" s="159"/>
      <c r="BJ96" s="155"/>
      <c r="BK96" s="155"/>
      <c r="BL96" s="155"/>
      <c r="BM96" s="155"/>
      <c r="BO96" s="159"/>
      <c r="BP96" s="159"/>
      <c r="BQ96" s="168"/>
      <c r="BR96" s="159"/>
      <c r="BS96" s="159"/>
      <c r="BT96" s="159"/>
      <c r="BU96" s="159"/>
      <c r="BV96" s="159"/>
      <c r="BW96" s="159"/>
      <c r="BX96" s="159"/>
      <c r="BY96" s="168"/>
      <c r="BZ96" s="155"/>
      <c r="CB96" s="159"/>
      <c r="CC96" s="159"/>
      <c r="CD96" s="168"/>
      <c r="CE96" s="159"/>
      <c r="CF96" s="159"/>
      <c r="CG96" s="159"/>
      <c r="CH96" s="159"/>
      <c r="CI96" s="159"/>
      <c r="CJ96" s="159"/>
      <c r="CK96" s="159"/>
      <c r="CL96" s="168"/>
      <c r="CM96" s="155"/>
    </row>
    <row r="97" spans="1:91" s="50" customFormat="1" ht="12.75">
      <c r="A97" s="199"/>
      <c r="B97" s="52" t="s">
        <v>84</v>
      </c>
      <c r="C97" s="149" t="s">
        <v>262</v>
      </c>
      <c r="D97" s="208" t="s">
        <v>52</v>
      </c>
      <c r="E97" s="206" t="s">
        <v>51</v>
      </c>
      <c r="F97" s="194"/>
      <c r="G97" s="161">
        <f t="shared" si="32"/>
        <v>0</v>
      </c>
      <c r="H97" s="53">
        <v>6739</v>
      </c>
      <c r="I97" s="149">
        <v>0.1</v>
      </c>
      <c r="J97" s="149">
        <v>0.3</v>
      </c>
      <c r="K97" s="149">
        <v>0.07</v>
      </c>
      <c r="L97" s="149">
        <v>0.8</v>
      </c>
      <c r="M97" s="150">
        <f t="shared" si="45"/>
        <v>15297.530000000002</v>
      </c>
      <c r="N97" s="243">
        <f t="shared" si="33"/>
        <v>15298</v>
      </c>
      <c r="O97" s="149"/>
      <c r="P97" s="245">
        <f t="shared" si="34"/>
        <v>0</v>
      </c>
      <c r="Q97" s="153">
        <f t="shared" si="37"/>
        <v>0</v>
      </c>
      <c r="R97" s="52"/>
      <c r="S97" s="79">
        <f t="shared" si="35"/>
        <v>0</v>
      </c>
      <c r="T97" s="79"/>
      <c r="U97" s="153"/>
      <c r="V97" s="153"/>
      <c r="W97" s="153"/>
      <c r="X97" s="153">
        <f t="shared" si="38"/>
        <v>0</v>
      </c>
      <c r="Y97" s="164"/>
      <c r="Z97" s="153">
        <f t="shared" si="44"/>
        <v>0</v>
      </c>
      <c r="AA97" s="154">
        <f t="shared" si="39"/>
        <v>0</v>
      </c>
      <c r="AB97" s="153">
        <f t="shared" si="40"/>
        <v>0</v>
      </c>
      <c r="AC97" s="52"/>
      <c r="AD97" s="79"/>
      <c r="AE97" s="163">
        <f t="shared" si="41"/>
        <v>0</v>
      </c>
      <c r="AF97" s="153">
        <f t="shared" si="42"/>
        <v>0</v>
      </c>
      <c r="AG97" s="155"/>
      <c r="AI97" s="159"/>
      <c r="AJ97" s="159"/>
      <c r="AK97" s="159"/>
      <c r="AL97" s="155"/>
      <c r="AM97" s="155"/>
      <c r="AN97" s="155"/>
      <c r="AO97" s="155"/>
      <c r="AQ97" s="159"/>
      <c r="AR97" s="159"/>
      <c r="AS97" s="159"/>
      <c r="AT97" s="155"/>
      <c r="AU97" s="155"/>
      <c r="AV97" s="155"/>
      <c r="AW97" s="155"/>
      <c r="AY97" s="159"/>
      <c r="AZ97" s="159"/>
      <c r="BA97" s="159"/>
      <c r="BB97" s="155"/>
      <c r="BC97" s="155"/>
      <c r="BD97" s="155"/>
      <c r="BE97" s="155"/>
      <c r="BG97" s="159"/>
      <c r="BH97" s="159"/>
      <c r="BI97" s="159"/>
      <c r="BJ97" s="155"/>
      <c r="BK97" s="155"/>
      <c r="BL97" s="155"/>
      <c r="BM97" s="155"/>
      <c r="BO97" s="159"/>
      <c r="BP97" s="159"/>
      <c r="BQ97" s="168"/>
      <c r="BR97" s="159"/>
      <c r="BS97" s="159"/>
      <c r="BT97" s="159"/>
      <c r="BU97" s="159"/>
      <c r="BV97" s="159"/>
      <c r="BW97" s="159"/>
      <c r="BX97" s="159"/>
      <c r="BY97" s="168"/>
      <c r="BZ97" s="155"/>
      <c r="CB97" s="159"/>
      <c r="CC97" s="159"/>
      <c r="CD97" s="168"/>
      <c r="CE97" s="159"/>
      <c r="CF97" s="159"/>
      <c r="CG97" s="159"/>
      <c r="CH97" s="159"/>
      <c r="CI97" s="159"/>
      <c r="CJ97" s="159"/>
      <c r="CK97" s="159"/>
      <c r="CL97" s="168"/>
      <c r="CM97" s="155"/>
    </row>
    <row r="98" spans="1:91" s="50" customFormat="1" ht="13.5" customHeight="1">
      <c r="A98" s="199"/>
      <c r="B98" s="52" t="s">
        <v>84</v>
      </c>
      <c r="C98" s="149" t="s">
        <v>263</v>
      </c>
      <c r="D98" s="208" t="s">
        <v>52</v>
      </c>
      <c r="E98" s="206" t="s">
        <v>230</v>
      </c>
      <c r="F98" s="194"/>
      <c r="G98" s="161">
        <f t="shared" si="32"/>
        <v>0</v>
      </c>
      <c r="H98" s="53">
        <v>6739</v>
      </c>
      <c r="I98" s="149">
        <v>0.1</v>
      </c>
      <c r="J98" s="149">
        <v>0.1</v>
      </c>
      <c r="K98" s="149">
        <v>0.07</v>
      </c>
      <c r="L98" s="149"/>
      <c r="M98" s="150">
        <f t="shared" si="45"/>
        <v>8558.530000000002</v>
      </c>
      <c r="N98" s="243">
        <f t="shared" si="33"/>
        <v>8559</v>
      </c>
      <c r="O98" s="119"/>
      <c r="P98" s="245">
        <f t="shared" si="34"/>
        <v>0</v>
      </c>
      <c r="Q98" s="153">
        <f t="shared" si="37"/>
        <v>0</v>
      </c>
      <c r="R98" s="52"/>
      <c r="S98" s="79">
        <f t="shared" si="35"/>
        <v>0</v>
      </c>
      <c r="T98" s="79"/>
      <c r="U98" s="153"/>
      <c r="V98" s="153"/>
      <c r="W98" s="153"/>
      <c r="X98" s="153">
        <f t="shared" si="38"/>
        <v>0</v>
      </c>
      <c r="Y98" s="164"/>
      <c r="Z98" s="153">
        <f t="shared" si="44"/>
        <v>0</v>
      </c>
      <c r="AA98" s="154">
        <f t="shared" si="39"/>
        <v>0</v>
      </c>
      <c r="AB98" s="153">
        <f t="shared" si="40"/>
        <v>0</v>
      </c>
      <c r="AC98" s="52"/>
      <c r="AD98" s="79"/>
      <c r="AE98" s="163">
        <f t="shared" si="41"/>
        <v>0</v>
      </c>
      <c r="AF98" s="153">
        <f t="shared" si="42"/>
        <v>0</v>
      </c>
      <c r="AG98" s="155"/>
      <c r="AI98" s="159"/>
      <c r="AJ98" s="159"/>
      <c r="AK98" s="159"/>
      <c r="AL98" s="155"/>
      <c r="AM98" s="155"/>
      <c r="AN98" s="155"/>
      <c r="AO98" s="155"/>
      <c r="AQ98" s="159"/>
      <c r="AR98" s="159"/>
      <c r="AS98" s="159"/>
      <c r="AT98" s="155"/>
      <c r="AU98" s="155"/>
      <c r="AV98" s="155"/>
      <c r="AW98" s="155"/>
      <c r="AY98" s="159"/>
      <c r="AZ98" s="159"/>
      <c r="BA98" s="159"/>
      <c r="BB98" s="155"/>
      <c r="BC98" s="155"/>
      <c r="BD98" s="155"/>
      <c r="BE98" s="155"/>
      <c r="BG98" s="159"/>
      <c r="BH98" s="159"/>
      <c r="BI98" s="159"/>
      <c r="BJ98" s="155"/>
      <c r="BK98" s="155"/>
      <c r="BL98" s="155"/>
      <c r="BM98" s="155"/>
      <c r="BO98" s="159"/>
      <c r="BP98" s="159"/>
      <c r="BQ98" s="168"/>
      <c r="BR98" s="159"/>
      <c r="BS98" s="159"/>
      <c r="BT98" s="159"/>
      <c r="BU98" s="159"/>
      <c r="BV98" s="159"/>
      <c r="BW98" s="159"/>
      <c r="BX98" s="159"/>
      <c r="BY98" s="168"/>
      <c r="BZ98" s="155"/>
      <c r="CB98" s="159"/>
      <c r="CC98" s="159"/>
      <c r="CD98" s="168"/>
      <c r="CE98" s="159"/>
      <c r="CF98" s="159"/>
      <c r="CG98" s="159"/>
      <c r="CH98" s="159"/>
      <c r="CI98" s="159"/>
      <c r="CJ98" s="159"/>
      <c r="CK98" s="159"/>
      <c r="CL98" s="168"/>
      <c r="CM98" s="155"/>
    </row>
    <row r="99" spans="1:91" s="50" customFormat="1" ht="13.5" customHeight="1">
      <c r="A99" s="199"/>
      <c r="B99" s="52" t="s">
        <v>84</v>
      </c>
      <c r="C99" s="192" t="s">
        <v>283</v>
      </c>
      <c r="D99" s="208" t="s">
        <v>52</v>
      </c>
      <c r="E99" s="206" t="s">
        <v>50</v>
      </c>
      <c r="F99" s="194"/>
      <c r="G99" s="161">
        <f t="shared" si="32"/>
        <v>0</v>
      </c>
      <c r="H99" s="53">
        <v>6739</v>
      </c>
      <c r="I99" s="149">
        <v>0.1</v>
      </c>
      <c r="J99" s="149">
        <v>0.1</v>
      </c>
      <c r="K99" s="149">
        <v>0.07</v>
      </c>
      <c r="L99" s="149">
        <v>0.4</v>
      </c>
      <c r="M99" s="150">
        <f t="shared" si="45"/>
        <v>11254.130000000003</v>
      </c>
      <c r="N99" s="243">
        <f t="shared" si="33"/>
        <v>11254</v>
      </c>
      <c r="O99" s="149"/>
      <c r="P99" s="245">
        <f t="shared" si="34"/>
        <v>0</v>
      </c>
      <c r="Q99" s="153">
        <f t="shared" si="37"/>
        <v>0</v>
      </c>
      <c r="R99" s="52"/>
      <c r="S99" s="79">
        <f t="shared" si="35"/>
        <v>0</v>
      </c>
      <c r="T99" s="79"/>
      <c r="U99" s="153"/>
      <c r="V99" s="153"/>
      <c r="W99" s="153"/>
      <c r="X99" s="153">
        <f t="shared" si="38"/>
        <v>0</v>
      </c>
      <c r="Y99" s="164"/>
      <c r="Z99" s="153">
        <f t="shared" si="44"/>
        <v>0</v>
      </c>
      <c r="AA99" s="154">
        <f t="shared" si="39"/>
        <v>0</v>
      </c>
      <c r="AB99" s="153">
        <f t="shared" si="40"/>
        <v>0</v>
      </c>
      <c r="AC99" s="52"/>
      <c r="AD99" s="79"/>
      <c r="AE99" s="163">
        <f>Y99+AA99+AC99</f>
        <v>0</v>
      </c>
      <c r="AF99" s="153">
        <f>Z99+AB99+AD99</f>
        <v>0</v>
      </c>
      <c r="AG99" s="155"/>
      <c r="AI99" s="159"/>
      <c r="AJ99" s="159"/>
      <c r="AK99" s="159"/>
      <c r="AL99" s="155"/>
      <c r="AM99" s="155"/>
      <c r="AN99" s="155"/>
      <c r="AO99" s="155"/>
      <c r="AQ99" s="159"/>
      <c r="AR99" s="159"/>
      <c r="AS99" s="159"/>
      <c r="AT99" s="155"/>
      <c r="AU99" s="155"/>
      <c r="AV99" s="155"/>
      <c r="AW99" s="155"/>
      <c r="AY99" s="159"/>
      <c r="AZ99" s="159"/>
      <c r="BA99" s="159"/>
      <c r="BB99" s="155"/>
      <c r="BC99" s="155"/>
      <c r="BD99" s="155"/>
      <c r="BE99" s="155"/>
      <c r="BG99" s="159"/>
      <c r="BH99" s="159"/>
      <c r="BI99" s="159"/>
      <c r="BJ99" s="155"/>
      <c r="BK99" s="155"/>
      <c r="BL99" s="155"/>
      <c r="BM99" s="155"/>
      <c r="BO99" s="159"/>
      <c r="BP99" s="159"/>
      <c r="BQ99" s="168"/>
      <c r="BR99" s="159"/>
      <c r="BS99" s="159"/>
      <c r="BT99" s="159"/>
      <c r="BU99" s="159"/>
      <c r="BV99" s="159"/>
      <c r="BW99" s="159"/>
      <c r="BX99" s="159"/>
      <c r="BY99" s="168"/>
      <c r="BZ99" s="155"/>
      <c r="CB99" s="159"/>
      <c r="CC99" s="159"/>
      <c r="CD99" s="168"/>
      <c r="CE99" s="159"/>
      <c r="CF99" s="159"/>
      <c r="CG99" s="159"/>
      <c r="CH99" s="159"/>
      <c r="CI99" s="159"/>
      <c r="CJ99" s="159"/>
      <c r="CK99" s="159"/>
      <c r="CL99" s="168"/>
      <c r="CM99" s="155"/>
    </row>
    <row r="100" spans="1:91" s="50" customFormat="1" ht="12.75">
      <c r="A100" s="199"/>
      <c r="B100" s="52" t="s">
        <v>84</v>
      </c>
      <c r="C100" s="149" t="s">
        <v>284</v>
      </c>
      <c r="D100" s="208" t="s">
        <v>38</v>
      </c>
      <c r="E100" s="206" t="s">
        <v>51</v>
      </c>
      <c r="F100" s="194"/>
      <c r="G100" s="161">
        <f t="shared" si="32"/>
        <v>0</v>
      </c>
      <c r="H100" s="53">
        <v>6739</v>
      </c>
      <c r="I100" s="149">
        <v>0.1</v>
      </c>
      <c r="J100" s="149">
        <v>0.3</v>
      </c>
      <c r="K100" s="149">
        <v>0.07</v>
      </c>
      <c r="L100" s="149">
        <v>0.8</v>
      </c>
      <c r="M100" s="150">
        <f t="shared" si="45"/>
        <v>15297.530000000002</v>
      </c>
      <c r="N100" s="243">
        <f t="shared" si="33"/>
        <v>15298</v>
      </c>
      <c r="O100" s="149"/>
      <c r="P100" s="245">
        <f t="shared" si="34"/>
        <v>0</v>
      </c>
      <c r="Q100" s="153">
        <f t="shared" si="37"/>
        <v>0</v>
      </c>
      <c r="R100" s="52"/>
      <c r="S100" s="79">
        <f t="shared" si="35"/>
        <v>0</v>
      </c>
      <c r="T100" s="79"/>
      <c r="U100" s="153"/>
      <c r="V100" s="153"/>
      <c r="W100" s="153"/>
      <c r="X100" s="153">
        <f t="shared" si="38"/>
        <v>0</v>
      </c>
      <c r="Y100" s="164"/>
      <c r="Z100" s="153">
        <f t="shared" si="44"/>
        <v>0</v>
      </c>
      <c r="AA100" s="154">
        <f t="shared" si="39"/>
        <v>0</v>
      </c>
      <c r="AB100" s="153">
        <f t="shared" si="40"/>
        <v>0</v>
      </c>
      <c r="AC100" s="52"/>
      <c r="AD100" s="79"/>
      <c r="AE100" s="163">
        <f t="shared" si="41"/>
        <v>0</v>
      </c>
      <c r="AF100" s="153">
        <f t="shared" si="42"/>
        <v>0</v>
      </c>
      <c r="AG100" s="155"/>
      <c r="AI100" s="159"/>
      <c r="AJ100" s="159"/>
      <c r="AK100" s="159"/>
      <c r="AL100" s="155"/>
      <c r="AM100" s="155"/>
      <c r="AN100" s="155"/>
      <c r="AO100" s="155"/>
      <c r="AQ100" s="159"/>
      <c r="AR100" s="159"/>
      <c r="AS100" s="159"/>
      <c r="AT100" s="155"/>
      <c r="AU100" s="155"/>
      <c r="AV100" s="155"/>
      <c r="AW100" s="155"/>
      <c r="AY100" s="159"/>
      <c r="AZ100" s="159"/>
      <c r="BA100" s="159"/>
      <c r="BB100" s="155"/>
      <c r="BC100" s="155"/>
      <c r="BD100" s="155"/>
      <c r="BE100" s="155"/>
      <c r="BG100" s="159"/>
      <c r="BH100" s="159"/>
      <c r="BI100" s="159"/>
      <c r="BJ100" s="155"/>
      <c r="BK100" s="155"/>
      <c r="BL100" s="155"/>
      <c r="BM100" s="155"/>
      <c r="BO100" s="159"/>
      <c r="BP100" s="159"/>
      <c r="BQ100" s="168"/>
      <c r="BR100" s="159"/>
      <c r="BS100" s="159"/>
      <c r="BT100" s="159"/>
      <c r="BU100" s="159"/>
      <c r="BV100" s="159"/>
      <c r="BW100" s="159"/>
      <c r="BX100" s="159"/>
      <c r="BY100" s="168"/>
      <c r="BZ100" s="155"/>
      <c r="CB100" s="159"/>
      <c r="CC100" s="159"/>
      <c r="CD100" s="168"/>
      <c r="CE100" s="159"/>
      <c r="CF100" s="159"/>
      <c r="CG100" s="159"/>
      <c r="CH100" s="159"/>
      <c r="CI100" s="159"/>
      <c r="CJ100" s="159"/>
      <c r="CK100" s="159"/>
      <c r="CL100" s="168"/>
      <c r="CM100" s="155"/>
    </row>
    <row r="101" spans="1:91" s="50" customFormat="1" ht="12.75">
      <c r="A101" s="199"/>
      <c r="B101" s="52" t="s">
        <v>84</v>
      </c>
      <c r="C101" s="149" t="s">
        <v>268</v>
      </c>
      <c r="D101" s="208" t="s">
        <v>52</v>
      </c>
      <c r="E101" s="206" t="s">
        <v>230</v>
      </c>
      <c r="F101" s="194"/>
      <c r="G101" s="161">
        <f t="shared" si="32"/>
        <v>0</v>
      </c>
      <c r="H101" s="53">
        <v>6739</v>
      </c>
      <c r="I101" s="149">
        <v>0.1</v>
      </c>
      <c r="J101" s="149">
        <v>0.2</v>
      </c>
      <c r="K101" s="149">
        <v>0.07</v>
      </c>
      <c r="L101" s="149"/>
      <c r="M101" s="150">
        <f t="shared" si="45"/>
        <v>9232.43</v>
      </c>
      <c r="N101" s="243">
        <f t="shared" si="33"/>
        <v>9232</v>
      </c>
      <c r="O101" s="149"/>
      <c r="P101" s="245">
        <f t="shared" si="34"/>
        <v>0</v>
      </c>
      <c r="Q101" s="153">
        <f t="shared" si="37"/>
        <v>0</v>
      </c>
      <c r="R101" s="52"/>
      <c r="S101" s="79">
        <f t="shared" si="35"/>
        <v>0</v>
      </c>
      <c r="T101" s="79"/>
      <c r="U101" s="153"/>
      <c r="V101" s="153"/>
      <c r="W101" s="153"/>
      <c r="X101" s="153">
        <f t="shared" si="38"/>
        <v>0</v>
      </c>
      <c r="Y101" s="164"/>
      <c r="Z101" s="153">
        <f t="shared" si="44"/>
        <v>0</v>
      </c>
      <c r="AA101" s="154">
        <f t="shared" si="39"/>
        <v>0</v>
      </c>
      <c r="AB101" s="153">
        <f t="shared" si="40"/>
        <v>0</v>
      </c>
      <c r="AC101" s="52"/>
      <c r="AD101" s="79"/>
      <c r="AE101" s="163">
        <f t="shared" si="41"/>
        <v>0</v>
      </c>
      <c r="AF101" s="153">
        <f t="shared" si="42"/>
        <v>0</v>
      </c>
      <c r="AG101" s="155"/>
      <c r="AI101" s="159"/>
      <c r="AJ101" s="159"/>
      <c r="AK101" s="159"/>
      <c r="AL101" s="155"/>
      <c r="AM101" s="155"/>
      <c r="AN101" s="155"/>
      <c r="AO101" s="155"/>
      <c r="AQ101" s="159"/>
      <c r="AR101" s="159"/>
      <c r="AS101" s="159"/>
      <c r="AT101" s="155"/>
      <c r="AU101" s="155"/>
      <c r="AV101" s="155"/>
      <c r="AW101" s="155"/>
      <c r="AY101" s="159"/>
      <c r="AZ101" s="159"/>
      <c r="BA101" s="159"/>
      <c r="BB101" s="155"/>
      <c r="BC101" s="155"/>
      <c r="BD101" s="155"/>
      <c r="BE101" s="155"/>
      <c r="BG101" s="159"/>
      <c r="BH101" s="159"/>
      <c r="BI101" s="159"/>
      <c r="BJ101" s="155"/>
      <c r="BK101" s="155"/>
      <c r="BL101" s="155"/>
      <c r="BM101" s="155"/>
      <c r="BO101" s="159"/>
      <c r="BP101" s="159"/>
      <c r="BQ101" s="168"/>
      <c r="BR101" s="159"/>
      <c r="BS101" s="159"/>
      <c r="BT101" s="159"/>
      <c r="BU101" s="159"/>
      <c r="BV101" s="159"/>
      <c r="BW101" s="159"/>
      <c r="BX101" s="159"/>
      <c r="BY101" s="168"/>
      <c r="BZ101" s="155"/>
      <c r="CB101" s="159"/>
      <c r="CC101" s="159"/>
      <c r="CD101" s="168"/>
      <c r="CE101" s="159"/>
      <c r="CF101" s="159"/>
      <c r="CG101" s="159"/>
      <c r="CH101" s="159"/>
      <c r="CI101" s="159"/>
      <c r="CJ101" s="159"/>
      <c r="CK101" s="159"/>
      <c r="CL101" s="168"/>
      <c r="CM101" s="155"/>
    </row>
    <row r="102" spans="1:91" s="50" customFormat="1" ht="12.75">
      <c r="A102" s="199" t="s">
        <v>74</v>
      </c>
      <c r="B102" s="157" t="s">
        <v>182</v>
      </c>
      <c r="C102" s="149" t="s">
        <v>219</v>
      </c>
      <c r="D102" s="58" t="s">
        <v>38</v>
      </c>
      <c r="E102" s="206" t="s">
        <v>50</v>
      </c>
      <c r="F102" s="194"/>
      <c r="G102" s="161">
        <f t="shared" si="32"/>
        <v>0</v>
      </c>
      <c r="H102" s="53">
        <v>6739</v>
      </c>
      <c r="I102" s="149">
        <v>0.1</v>
      </c>
      <c r="J102" s="149">
        <v>0.1</v>
      </c>
      <c r="K102" s="149">
        <v>0.07</v>
      </c>
      <c r="L102" s="149">
        <v>0.4</v>
      </c>
      <c r="M102" s="150">
        <f>H102*(1+I102+J102+K102+L102)</f>
        <v>11254.130000000003</v>
      </c>
      <c r="N102" s="243">
        <f t="shared" si="33"/>
        <v>11254</v>
      </c>
      <c r="O102" s="149"/>
      <c r="P102" s="246">
        <f t="shared" si="34"/>
        <v>0</v>
      </c>
      <c r="Q102" s="153">
        <f t="shared" si="37"/>
        <v>0</v>
      </c>
      <c r="R102" s="230"/>
      <c r="S102" s="231">
        <f t="shared" si="35"/>
        <v>0</v>
      </c>
      <c r="T102" s="231"/>
      <c r="U102" s="232"/>
      <c r="V102" s="232"/>
      <c r="W102" s="232"/>
      <c r="X102" s="153">
        <f t="shared" si="38"/>
        <v>0</v>
      </c>
      <c r="Y102" s="233"/>
      <c r="Z102" s="153">
        <f t="shared" si="44"/>
        <v>0</v>
      </c>
      <c r="AA102" s="154">
        <f t="shared" si="39"/>
        <v>0</v>
      </c>
      <c r="AB102" s="153">
        <f t="shared" si="40"/>
        <v>0</v>
      </c>
      <c r="AC102" s="231"/>
      <c r="AD102" s="231"/>
      <c r="AE102" s="163">
        <f t="shared" si="41"/>
        <v>0</v>
      </c>
      <c r="AF102" s="153">
        <f t="shared" si="42"/>
        <v>0</v>
      </c>
      <c r="AG102" s="155"/>
      <c r="AI102" s="159"/>
      <c r="AJ102" s="159"/>
      <c r="AK102" s="159"/>
      <c r="AL102" s="155"/>
      <c r="AM102" s="155"/>
      <c r="AN102" s="155"/>
      <c r="AO102" s="155"/>
      <c r="AQ102" s="159"/>
      <c r="AR102" s="159"/>
      <c r="AS102" s="159"/>
      <c r="AT102" s="155"/>
      <c r="AU102" s="155"/>
      <c r="AV102" s="155"/>
      <c r="AW102" s="155"/>
      <c r="AY102" s="159"/>
      <c r="AZ102" s="159"/>
      <c r="BA102" s="159"/>
      <c r="BB102" s="155"/>
      <c r="BC102" s="155"/>
      <c r="BD102" s="155"/>
      <c r="BE102" s="155"/>
      <c r="BG102" s="159"/>
      <c r="BH102" s="159"/>
      <c r="BI102" s="159"/>
      <c r="BJ102" s="155"/>
      <c r="BK102" s="155"/>
      <c r="BL102" s="155"/>
      <c r="BM102" s="155"/>
      <c r="BO102" s="159"/>
      <c r="BP102" s="159"/>
      <c r="BQ102" s="168"/>
      <c r="BR102" s="159"/>
      <c r="BS102" s="159"/>
      <c r="BT102" s="159"/>
      <c r="BU102" s="159"/>
      <c r="BV102" s="159"/>
      <c r="BW102" s="159"/>
      <c r="BX102" s="159"/>
      <c r="BY102" s="168"/>
      <c r="BZ102" s="155"/>
      <c r="CB102" s="159"/>
      <c r="CC102" s="159"/>
      <c r="CD102" s="168"/>
      <c r="CE102" s="159"/>
      <c r="CF102" s="159"/>
      <c r="CG102" s="159"/>
      <c r="CH102" s="159"/>
      <c r="CI102" s="159"/>
      <c r="CJ102" s="159"/>
      <c r="CK102" s="159"/>
      <c r="CL102" s="168"/>
      <c r="CM102" s="155"/>
    </row>
    <row r="103" spans="1:91" ht="12.75">
      <c r="A103" s="307" t="s">
        <v>2</v>
      </c>
      <c r="B103" s="293"/>
      <c r="C103" s="278"/>
      <c r="D103" s="308"/>
      <c r="E103" s="309"/>
      <c r="F103" s="310">
        <f>SUM(F60:F102)</f>
        <v>0</v>
      </c>
      <c r="G103" s="300">
        <f>SUM(G60:G102)</f>
        <v>0</v>
      </c>
      <c r="H103" s="305"/>
      <c r="I103" s="311"/>
      <c r="J103" s="311"/>
      <c r="K103" s="311"/>
      <c r="L103" s="311"/>
      <c r="M103" s="284"/>
      <c r="N103" s="284"/>
      <c r="O103" s="311"/>
      <c r="P103" s="311"/>
      <c r="Q103" s="284">
        <f>SUM(Q60:Q102)</f>
        <v>0</v>
      </c>
      <c r="R103" s="305"/>
      <c r="S103" s="305"/>
      <c r="T103" s="305"/>
      <c r="U103" s="284"/>
      <c r="V103" s="284">
        <f>SUM(V60:V102)</f>
        <v>0</v>
      </c>
      <c r="W103" s="284"/>
      <c r="X103" s="284">
        <f>SUM(X60:X102)</f>
        <v>0</v>
      </c>
      <c r="Y103" s="303">
        <f>SUM(Y60:Y102)</f>
        <v>0</v>
      </c>
      <c r="Z103" s="284">
        <f>SUM(Z60:Z102)</f>
        <v>0</v>
      </c>
      <c r="AA103" s="312">
        <f>SUM(AA60:AA102)</f>
        <v>0</v>
      </c>
      <c r="AB103" s="284">
        <f>SUM(AB60:AB102)</f>
        <v>0</v>
      </c>
      <c r="AC103" s="305"/>
      <c r="AD103" s="305"/>
      <c r="AE103" s="303">
        <f>SUM(AE60:AE102)</f>
        <v>0</v>
      </c>
      <c r="AF103" s="284">
        <f>SUM(AF60:AF102)</f>
        <v>0</v>
      </c>
      <c r="AG103" s="115">
        <f>Z103+AB103</f>
        <v>0</v>
      </c>
      <c r="AI103" s="28"/>
      <c r="AJ103" s="28"/>
      <c r="AK103" s="28"/>
      <c r="AL103" s="115"/>
      <c r="AM103" s="115"/>
      <c r="AN103" s="115"/>
      <c r="AO103" s="115"/>
      <c r="AQ103" s="28"/>
      <c r="AR103" s="28"/>
      <c r="AS103" s="28"/>
      <c r="AT103" s="115"/>
      <c r="AU103" s="115"/>
      <c r="AV103" s="115"/>
      <c r="AW103" s="115"/>
      <c r="AY103" s="28"/>
      <c r="AZ103" s="28"/>
      <c r="BA103" s="28"/>
      <c r="BB103" s="115"/>
      <c r="BC103" s="115"/>
      <c r="BD103" s="115"/>
      <c r="BE103" s="115"/>
      <c r="BG103" s="28"/>
      <c r="BH103" s="28"/>
      <c r="BI103" s="28"/>
      <c r="BJ103" s="115"/>
      <c r="BK103" s="115"/>
      <c r="BL103" s="115"/>
      <c r="BM103" s="115"/>
      <c r="BO103" s="28"/>
      <c r="BP103" s="28"/>
      <c r="BQ103" s="27"/>
      <c r="BR103" s="28"/>
      <c r="BS103" s="28"/>
      <c r="BT103" s="28"/>
      <c r="BU103" s="28"/>
      <c r="BV103" s="28"/>
      <c r="BW103" s="28"/>
      <c r="BX103" s="28"/>
      <c r="BY103" s="27"/>
      <c r="BZ103" s="115"/>
      <c r="CB103" s="28"/>
      <c r="CC103" s="28"/>
      <c r="CD103" s="27"/>
      <c r="CE103" s="28"/>
      <c r="CF103" s="28"/>
      <c r="CG103" s="28"/>
      <c r="CH103" s="28"/>
      <c r="CI103" s="28"/>
      <c r="CJ103" s="28"/>
      <c r="CK103" s="28"/>
      <c r="CL103" s="27"/>
      <c r="CM103" s="115"/>
    </row>
    <row r="104" spans="1:91" ht="12.75">
      <c r="A104" s="200" t="s">
        <v>39</v>
      </c>
      <c r="B104" s="172"/>
      <c r="C104" s="172"/>
      <c r="D104" s="172"/>
      <c r="E104" s="172"/>
      <c r="F104" s="195">
        <f>F9+F12+F14+F25+F55+F59+F103</f>
        <v>2.5</v>
      </c>
      <c r="G104" s="173">
        <f>G9+G12+G14+G25+G55+G59+G103</f>
        <v>6</v>
      </c>
      <c r="H104" s="172"/>
      <c r="I104" s="174"/>
      <c r="J104" s="174"/>
      <c r="K104" s="174"/>
      <c r="L104" s="174"/>
      <c r="M104" s="171"/>
      <c r="N104" s="171"/>
      <c r="O104" s="175"/>
      <c r="P104" s="175"/>
      <c r="Q104" s="315">
        <f aca="true" t="shared" si="46" ref="Q104:X104">Q9+Q12+Q14+Q25+Q55+Q59+Q103</f>
        <v>0</v>
      </c>
      <c r="R104" s="91">
        <f t="shared" si="46"/>
        <v>0</v>
      </c>
      <c r="S104" s="91">
        <f t="shared" si="46"/>
        <v>0</v>
      </c>
      <c r="T104" s="91">
        <f t="shared" si="46"/>
        <v>0</v>
      </c>
      <c r="U104" s="171">
        <f t="shared" si="46"/>
        <v>0</v>
      </c>
      <c r="V104" s="171">
        <f t="shared" si="46"/>
        <v>0</v>
      </c>
      <c r="W104" s="171">
        <f t="shared" si="46"/>
        <v>0</v>
      </c>
      <c r="X104" s="171">
        <f t="shared" si="46"/>
        <v>0</v>
      </c>
      <c r="Y104" s="176">
        <f>Y55+Y103</f>
        <v>0</v>
      </c>
      <c r="Z104" s="171">
        <f>Z55+Z103</f>
        <v>0</v>
      </c>
      <c r="AA104" s="177">
        <f>AA25+AA55+AA103</f>
        <v>0</v>
      </c>
      <c r="AB104" s="171">
        <f>AB25+AB55+AB103</f>
        <v>0</v>
      </c>
      <c r="AC104" s="91">
        <f>AC55+AC103</f>
        <v>0</v>
      </c>
      <c r="AD104" s="91">
        <f>AD55+AD103</f>
        <v>0</v>
      </c>
      <c r="AE104" s="176">
        <f>AE55+AE103</f>
        <v>0</v>
      </c>
      <c r="AF104" s="171">
        <f>AF25+AF55+AF103</f>
        <v>0</v>
      </c>
      <c r="AG104" s="115">
        <f>Y104+AA104</f>
        <v>0</v>
      </c>
      <c r="AI104" s="28"/>
      <c r="AJ104" s="28"/>
      <c r="AK104" s="28"/>
      <c r="AL104" s="115"/>
      <c r="AM104" s="115"/>
      <c r="AN104" s="115"/>
      <c r="AO104" s="115"/>
      <c r="AQ104" s="28"/>
      <c r="AR104" s="28"/>
      <c r="AS104" s="28"/>
      <c r="AT104" s="115"/>
      <c r="AU104" s="115"/>
      <c r="AV104" s="115"/>
      <c r="AW104" s="115"/>
      <c r="AY104" s="28"/>
      <c r="AZ104" s="28"/>
      <c r="BA104" s="28"/>
      <c r="BB104" s="115"/>
      <c r="BC104" s="115"/>
      <c r="BD104" s="115"/>
      <c r="BE104" s="115"/>
      <c r="BG104" s="28"/>
      <c r="BH104" s="28"/>
      <c r="BI104" s="28"/>
      <c r="BJ104" s="115"/>
      <c r="BK104" s="115"/>
      <c r="BL104" s="115"/>
      <c r="BM104" s="115"/>
      <c r="BO104" s="28"/>
      <c r="BP104" s="28"/>
      <c r="BQ104" s="27"/>
      <c r="BR104" s="28"/>
      <c r="BS104" s="28"/>
      <c r="BT104" s="28"/>
      <c r="BU104" s="28"/>
      <c r="BV104" s="28"/>
      <c r="BW104" s="28"/>
      <c r="BX104" s="28"/>
      <c r="BY104" s="27"/>
      <c r="BZ104" s="115"/>
      <c r="CB104" s="28"/>
      <c r="CC104" s="28"/>
      <c r="CD104" s="27"/>
      <c r="CE104" s="28"/>
      <c r="CF104" s="28"/>
      <c r="CG104" s="28"/>
      <c r="CH104" s="28"/>
      <c r="CI104" s="28"/>
      <c r="CJ104" s="28"/>
      <c r="CK104" s="28"/>
      <c r="CL104" s="27"/>
      <c r="CM104" s="115"/>
    </row>
    <row r="105" spans="1:32" s="30" customFormat="1" ht="12.75">
      <c r="A105" s="201" t="s">
        <v>188</v>
      </c>
      <c r="B105" s="178"/>
      <c r="C105" s="178"/>
      <c r="D105" s="178"/>
      <c r="E105" s="178"/>
      <c r="F105" s="196">
        <f>F104-F103</f>
        <v>2.5</v>
      </c>
      <c r="G105" s="179">
        <f>G104-G103</f>
        <v>6</v>
      </c>
      <c r="H105" s="126"/>
      <c r="I105" s="180"/>
      <c r="J105" s="180"/>
      <c r="K105" s="180"/>
      <c r="L105" s="180"/>
      <c r="M105" s="181"/>
      <c r="N105" s="181"/>
      <c r="O105" s="180"/>
      <c r="P105" s="180"/>
      <c r="Q105" s="181">
        <f aca="true" t="shared" si="47" ref="Q105:AF105">Q104-Q103</f>
        <v>0</v>
      </c>
      <c r="R105" s="126">
        <f t="shared" si="47"/>
        <v>0</v>
      </c>
      <c r="S105" s="126">
        <f t="shared" si="47"/>
        <v>0</v>
      </c>
      <c r="T105" s="126">
        <f t="shared" si="47"/>
        <v>0</v>
      </c>
      <c r="U105" s="181">
        <f t="shared" si="47"/>
        <v>0</v>
      </c>
      <c r="V105" s="181">
        <f t="shared" si="47"/>
        <v>0</v>
      </c>
      <c r="W105" s="181">
        <f t="shared" si="47"/>
        <v>0</v>
      </c>
      <c r="X105" s="181">
        <f t="shared" si="47"/>
        <v>0</v>
      </c>
      <c r="Y105" s="182">
        <f t="shared" si="47"/>
        <v>0</v>
      </c>
      <c r="Z105" s="181">
        <f t="shared" si="47"/>
        <v>0</v>
      </c>
      <c r="AA105" s="183">
        <f>AA104-AA103</f>
        <v>0</v>
      </c>
      <c r="AB105" s="181">
        <f t="shared" si="47"/>
        <v>0</v>
      </c>
      <c r="AC105" s="126">
        <f t="shared" si="47"/>
        <v>0</v>
      </c>
      <c r="AD105" s="126">
        <f t="shared" si="47"/>
        <v>0</v>
      </c>
      <c r="AE105" s="182">
        <f t="shared" si="47"/>
        <v>0</v>
      </c>
      <c r="AF105" s="181">
        <f t="shared" si="47"/>
        <v>0</v>
      </c>
    </row>
    <row r="106" spans="1:31" ht="12.75">
      <c r="A106" s="202"/>
      <c r="P106" s="186" t="s">
        <v>216</v>
      </c>
      <c r="Q106" s="186">
        <f>Q103</f>
        <v>0</v>
      </c>
      <c r="V106" s="275">
        <f>V104+АП!P14</f>
        <v>0</v>
      </c>
      <c r="Y106" s="187"/>
      <c r="Z106" s="186"/>
      <c r="AA106" s="133"/>
      <c r="AB106" s="133"/>
      <c r="AC106" s="133">
        <f>AC55+AC25</f>
        <v>0</v>
      </c>
      <c r="AD106" s="133">
        <f>AD55+AD25</f>
        <v>0</v>
      </c>
      <c r="AE106" s="188"/>
    </row>
    <row r="107" spans="1:25" ht="12.75">
      <c r="A107" s="203" t="s">
        <v>0</v>
      </c>
      <c r="S107" s="29" t="s">
        <v>217</v>
      </c>
      <c r="U107" s="111" t="s">
        <v>192</v>
      </c>
      <c r="V107" s="275">
        <f>V106-V108</f>
        <v>0</v>
      </c>
      <c r="Y107" s="187"/>
    </row>
    <row r="108" spans="14:25" ht="12.75">
      <c r="N108" s="29" t="s">
        <v>224</v>
      </c>
      <c r="P108" s="24" t="s">
        <v>192</v>
      </c>
      <c r="Q108" s="114">
        <f>Q105</f>
        <v>0</v>
      </c>
      <c r="R108" s="25"/>
      <c r="S108" s="114">
        <f>S105</f>
        <v>0</v>
      </c>
      <c r="U108" s="111" t="s">
        <v>223</v>
      </c>
      <c r="V108" s="275">
        <f>V103</f>
        <v>0</v>
      </c>
      <c r="Y108" s="187"/>
    </row>
    <row r="109" spans="1:25" ht="12.75">
      <c r="A109" s="203" t="s">
        <v>229</v>
      </c>
      <c r="D109" s="323"/>
      <c r="E109" s="323"/>
      <c r="F109" s="323"/>
      <c r="P109" s="24" t="s">
        <v>223</v>
      </c>
      <c r="Q109" s="65">
        <f>Q106</f>
        <v>0</v>
      </c>
      <c r="R109" s="25"/>
      <c r="S109" s="65">
        <f>S106</f>
        <v>0</v>
      </c>
      <c r="Y109" s="187"/>
    </row>
    <row r="110" spans="1:34" ht="12.75">
      <c r="A110" s="269"/>
      <c r="B110" s="28"/>
      <c r="C110" s="28"/>
      <c r="D110" s="28"/>
      <c r="E110" s="28"/>
      <c r="F110" s="270"/>
      <c r="G110" s="270"/>
      <c r="H110" s="28"/>
      <c r="I110" s="271"/>
      <c r="J110" s="271"/>
      <c r="K110" s="271"/>
      <c r="L110" s="271"/>
      <c r="M110" s="28"/>
      <c r="N110" s="28"/>
      <c r="O110" s="271"/>
      <c r="P110" s="28"/>
      <c r="Q110" s="28"/>
      <c r="R110" s="28"/>
      <c r="S110" s="28"/>
      <c r="T110" s="28"/>
      <c r="U110" s="272"/>
      <c r="V110" s="28"/>
      <c r="W110" s="28"/>
      <c r="X110" s="28"/>
      <c r="Y110" s="28"/>
      <c r="Z110" s="28"/>
      <c r="AA110" s="28"/>
      <c r="AB110" s="28"/>
      <c r="AC110" s="28"/>
      <c r="AD110" s="28"/>
      <c r="AE110" s="27"/>
      <c r="AF110" s="28"/>
      <c r="AG110" s="28"/>
      <c r="AH110" s="28"/>
    </row>
    <row r="111" spans="1:34" ht="12.75">
      <c r="A111" s="269"/>
      <c r="B111" s="28"/>
      <c r="C111" s="28"/>
      <c r="D111" s="28"/>
      <c r="E111" s="28"/>
      <c r="F111" s="270"/>
      <c r="G111" s="270"/>
      <c r="H111" s="28"/>
      <c r="I111" s="271"/>
      <c r="J111" s="271"/>
      <c r="K111" s="271"/>
      <c r="L111" s="271"/>
      <c r="M111" s="28"/>
      <c r="N111" s="27" t="s">
        <v>46</v>
      </c>
      <c r="O111" s="271"/>
      <c r="P111" s="24" t="s">
        <v>192</v>
      </c>
      <c r="Q111" s="114">
        <f>Q108+АП!M17+ОП!L73+УВП!L51+Медики!O44</f>
        <v>0</v>
      </c>
      <c r="R111" s="28"/>
      <c r="S111" s="114">
        <f>АП!O17+ПП!S108+ОП!N73+УВП!N51+Медики!R44</f>
        <v>0</v>
      </c>
      <c r="T111" s="28"/>
      <c r="U111" s="272"/>
      <c r="V111" s="28"/>
      <c r="W111" s="28"/>
      <c r="X111" s="28"/>
      <c r="Y111" s="28"/>
      <c r="Z111" s="28"/>
      <c r="AA111" s="28"/>
      <c r="AB111" s="28"/>
      <c r="AC111" s="28"/>
      <c r="AD111" s="28"/>
      <c r="AE111" s="27"/>
      <c r="AF111" s="28"/>
      <c r="AG111" s="28"/>
      <c r="AH111" s="28"/>
    </row>
    <row r="112" spans="1:34" ht="12.75">
      <c r="A112" s="269"/>
      <c r="B112" s="28"/>
      <c r="C112" s="28"/>
      <c r="D112" s="28"/>
      <c r="E112" s="28"/>
      <c r="F112" s="270"/>
      <c r="G112" s="270"/>
      <c r="H112" s="28"/>
      <c r="I112" s="271"/>
      <c r="J112" s="271"/>
      <c r="K112" s="271"/>
      <c r="L112" s="271"/>
      <c r="M112" s="28"/>
      <c r="N112" s="28"/>
      <c r="O112" s="271"/>
      <c r="P112" s="24" t="s">
        <v>223</v>
      </c>
      <c r="Q112" s="114">
        <f>Q109+АП!M18+ОП!L74+УВП!L52+Медики!O45</f>
        <v>0</v>
      </c>
      <c r="R112" s="28"/>
      <c r="S112" s="114">
        <f>АП!O18+ПП!S109+ОП!N74+УВП!N52+Медики!R45</f>
        <v>0</v>
      </c>
      <c r="T112" s="28"/>
      <c r="U112" s="272"/>
      <c r="V112" s="28"/>
      <c r="W112" s="28"/>
      <c r="X112" s="28"/>
      <c r="Y112" s="28"/>
      <c r="Z112" s="28"/>
      <c r="AA112" s="28"/>
      <c r="AB112" s="28"/>
      <c r="AC112" s="28"/>
      <c r="AD112" s="28"/>
      <c r="AE112" s="27"/>
      <c r="AF112" s="28"/>
      <c r="AG112" s="28"/>
      <c r="AH112" s="28"/>
    </row>
    <row r="113" spans="1:34" ht="12.75">
      <c r="A113" s="269"/>
      <c r="B113" s="28"/>
      <c r="C113" s="28"/>
      <c r="D113" s="28"/>
      <c r="E113" s="28"/>
      <c r="F113" s="270"/>
      <c r="G113" s="270"/>
      <c r="H113" s="28"/>
      <c r="I113" s="271"/>
      <c r="J113" s="271"/>
      <c r="K113" s="271"/>
      <c r="L113" s="271"/>
      <c r="M113" s="28"/>
      <c r="N113" s="28"/>
      <c r="O113" s="271"/>
      <c r="P113" s="28"/>
      <c r="Q113" s="114">
        <f>Q111+Q112</f>
        <v>0</v>
      </c>
      <c r="R113" s="160">
        <f>R111+R112</f>
        <v>0</v>
      </c>
      <c r="S113" s="114">
        <f>S111+S112</f>
        <v>0</v>
      </c>
      <c r="T113" s="28"/>
      <c r="U113" s="272"/>
      <c r="V113" s="28"/>
      <c r="W113" s="28"/>
      <c r="X113" s="28"/>
      <c r="Y113" s="28"/>
      <c r="Z113" s="28"/>
      <c r="AA113" s="28"/>
      <c r="AB113" s="28"/>
      <c r="AC113" s="28"/>
      <c r="AD113" s="28"/>
      <c r="AE113" s="27"/>
      <c r="AF113" s="28"/>
      <c r="AG113" s="28"/>
      <c r="AH113" s="28"/>
    </row>
    <row r="114" spans="1:34" ht="12.75">
      <c r="A114" s="269"/>
      <c r="B114" s="28"/>
      <c r="C114" s="28"/>
      <c r="D114" s="28"/>
      <c r="E114" s="28"/>
      <c r="F114" s="270"/>
      <c r="G114" s="270"/>
      <c r="H114" s="28"/>
      <c r="I114" s="271"/>
      <c r="J114" s="271"/>
      <c r="K114" s="271"/>
      <c r="L114" s="271"/>
      <c r="M114" s="28"/>
      <c r="N114" s="28"/>
      <c r="O114" s="271"/>
      <c r="P114" s="28"/>
      <c r="Q114" s="28"/>
      <c r="R114" s="28"/>
      <c r="S114" s="28"/>
      <c r="T114" s="28"/>
      <c r="U114" s="272"/>
      <c r="V114" s="28"/>
      <c r="W114" s="28"/>
      <c r="X114" s="28"/>
      <c r="Y114" s="28"/>
      <c r="Z114" s="28"/>
      <c r="AA114" s="28"/>
      <c r="AB114" s="28"/>
      <c r="AC114" s="28"/>
      <c r="AD114" s="28"/>
      <c r="AE114" s="27"/>
      <c r="AF114" s="28"/>
      <c r="AG114" s="28"/>
      <c r="AH114" s="28"/>
    </row>
    <row r="121" spans="1:2" ht="12.75">
      <c r="A121" s="322" t="s">
        <v>225</v>
      </c>
      <c r="B121" s="322"/>
    </row>
    <row r="123" spans="1:32" ht="12.75">
      <c r="A123" s="198" t="s">
        <v>226</v>
      </c>
      <c r="B123" s="24" t="s">
        <v>84</v>
      </c>
      <c r="C123" s="24"/>
      <c r="D123" s="24" t="s">
        <v>57</v>
      </c>
      <c r="E123" s="24" t="s">
        <v>168</v>
      </c>
      <c r="F123" s="273">
        <v>3</v>
      </c>
      <c r="G123" s="273"/>
      <c r="H123" s="24">
        <v>6364</v>
      </c>
      <c r="I123" s="190">
        <v>0.1</v>
      </c>
      <c r="J123" s="190">
        <v>0.1</v>
      </c>
      <c r="K123" s="190">
        <v>0.07</v>
      </c>
      <c r="L123" s="190"/>
      <c r="M123" s="24">
        <f>H123*(1+I123+J123+K123+L123)</f>
        <v>8082.280000000002</v>
      </c>
      <c r="N123" s="24">
        <f>ROUND(M123,0)</f>
        <v>8082</v>
      </c>
      <c r="O123" s="190">
        <v>1.45</v>
      </c>
      <c r="P123" s="125">
        <f>ROUND(N123*O123,2)</f>
        <v>11718.9</v>
      </c>
      <c r="Q123" s="24">
        <f>ROUND(P123/18*F123,2)</f>
        <v>1953.15</v>
      </c>
      <c r="R123" s="29">
        <f>SUM(R120:R122)</f>
        <v>0</v>
      </c>
      <c r="S123" s="29">
        <f>SUM(S120:S122)</f>
        <v>0</v>
      </c>
      <c r="T123" s="29">
        <f>SUM(T120:T122)</f>
        <v>0</v>
      </c>
      <c r="X123" s="29">
        <f>Q123+S123+U123+V123+W123</f>
        <v>1953.15</v>
      </c>
      <c r="AA123" s="29">
        <f>F123</f>
        <v>3</v>
      </c>
      <c r="AB123" s="29">
        <f>Q123</f>
        <v>1953.15</v>
      </c>
      <c r="AF123" s="29">
        <f>Z123+AB123+AD123</f>
        <v>1953.15</v>
      </c>
    </row>
    <row r="124" spans="1:17" ht="12.75">
      <c r="A124" s="235"/>
      <c r="B124" s="24" t="s">
        <v>84</v>
      </c>
      <c r="C124" s="24"/>
      <c r="D124" s="24" t="s">
        <v>57</v>
      </c>
      <c r="E124" s="24" t="s">
        <v>50</v>
      </c>
      <c r="F124" s="273">
        <v>3</v>
      </c>
      <c r="G124" s="273"/>
      <c r="H124" s="24">
        <v>6364</v>
      </c>
      <c r="I124" s="190">
        <v>0.1</v>
      </c>
      <c r="J124" s="190">
        <v>0.1</v>
      </c>
      <c r="K124" s="190">
        <v>0.07</v>
      </c>
      <c r="L124" s="190">
        <v>0.4</v>
      </c>
      <c r="M124" s="24">
        <f>H124*(1+I124+J124+K124+L124)</f>
        <v>10627.880000000003</v>
      </c>
      <c r="N124" s="24">
        <f>ROUND(M124,0)</f>
        <v>10628</v>
      </c>
      <c r="O124" s="190">
        <v>1.45</v>
      </c>
      <c r="P124" s="125">
        <f>ROUND(N124*O124,2)</f>
        <v>15410.6</v>
      </c>
      <c r="Q124" s="24">
        <f>ROUND(P124/18*F124,2)</f>
        <v>2568.43</v>
      </c>
    </row>
  </sheetData>
  <sheetProtection/>
  <mergeCells count="29">
    <mergeCell ref="C2:M2"/>
    <mergeCell ref="Y3:AD3"/>
    <mergeCell ref="AE3:AF3"/>
    <mergeCell ref="I4:I5"/>
    <mergeCell ref="J4:J5"/>
    <mergeCell ref="K4:K5"/>
    <mergeCell ref="L4:L5"/>
    <mergeCell ref="M4:M5"/>
    <mergeCell ref="N4:N5"/>
    <mergeCell ref="AE4:AF4"/>
    <mergeCell ref="B4:B5"/>
    <mergeCell ref="C4:C5"/>
    <mergeCell ref="AC4:AD4"/>
    <mergeCell ref="D4:D5"/>
    <mergeCell ref="H3:S3"/>
    <mergeCell ref="X3:X5"/>
    <mergeCell ref="O4:O5"/>
    <mergeCell ref="P4:P5"/>
    <mergeCell ref="Q4:Q5"/>
    <mergeCell ref="A121:B121"/>
    <mergeCell ref="D109:F109"/>
    <mergeCell ref="A9:B9"/>
    <mergeCell ref="Y4:Z4"/>
    <mergeCell ref="AA4:AB4"/>
    <mergeCell ref="E4:E5"/>
    <mergeCell ref="F4:F5"/>
    <mergeCell ref="G4:G5"/>
    <mergeCell ref="H4:H5"/>
    <mergeCell ref="A4:A5"/>
  </mergeCells>
  <printOptions/>
  <pageMargins left="0.15748031496062992" right="0.15748031496062992" top="0.15748031496062992" bottom="0.15748031496062992" header="0.15748031496062992" footer="0.15748031496062992"/>
  <pageSetup fitToHeight="3" fitToWidth="3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" sqref="M12:M13"/>
    </sheetView>
  </sheetViews>
  <sheetFormatPr defaultColWidth="9.00390625" defaultRowHeight="12.75"/>
  <cols>
    <col min="1" max="1" width="20.625" style="1" customWidth="1"/>
    <col min="2" max="2" width="10.625" style="1" customWidth="1"/>
    <col min="4" max="4" width="18.75390625" style="0" customWidth="1"/>
    <col min="10" max="10" width="6.25390625" style="0" customWidth="1"/>
    <col min="12" max="12" width="10.875" style="18" customWidth="1"/>
    <col min="13" max="13" width="5.75390625" style="0" customWidth="1"/>
    <col min="14" max="14" width="9.875" style="0" customWidth="1"/>
    <col min="15" max="15" width="9.875" style="18" customWidth="1"/>
    <col min="16" max="16" width="6.375" style="0" customWidth="1"/>
    <col min="17" max="17" width="10.00390625" style="1" customWidth="1"/>
    <col min="19" max="19" width="10.375" style="0" customWidth="1"/>
  </cols>
  <sheetData>
    <row r="1" spans="5:8" ht="12.75">
      <c r="E1" s="339" t="s">
        <v>305</v>
      </c>
      <c r="F1" s="320"/>
      <c r="G1" s="320"/>
      <c r="H1" s="320"/>
    </row>
    <row r="2" ht="12.75">
      <c r="E2" s="18" t="s">
        <v>135</v>
      </c>
    </row>
    <row r="3" spans="5:16" ht="12.75">
      <c r="E3" s="337" t="s">
        <v>62</v>
      </c>
      <c r="F3" s="337"/>
      <c r="G3" s="337"/>
      <c r="H3" s="337"/>
      <c r="I3" s="337"/>
      <c r="J3" s="337"/>
      <c r="K3" s="337"/>
      <c r="L3" s="337"/>
      <c r="M3" s="338" t="s">
        <v>102</v>
      </c>
      <c r="N3" s="337"/>
      <c r="O3" s="337"/>
      <c r="P3" s="337"/>
    </row>
    <row r="4" spans="1:18" s="18" customFormat="1" ht="89.25">
      <c r="A4" s="11" t="s">
        <v>63</v>
      </c>
      <c r="B4" s="11" t="s">
        <v>64</v>
      </c>
      <c r="C4" s="21" t="s">
        <v>65</v>
      </c>
      <c r="D4" s="21" t="s">
        <v>66</v>
      </c>
      <c r="E4" s="21" t="s">
        <v>15</v>
      </c>
      <c r="F4" s="21" t="s">
        <v>67</v>
      </c>
      <c r="G4" s="21" t="s">
        <v>68</v>
      </c>
      <c r="H4" s="21" t="s">
        <v>69</v>
      </c>
      <c r="I4" s="250" t="s">
        <v>70</v>
      </c>
      <c r="J4" s="21" t="s">
        <v>71</v>
      </c>
      <c r="K4" s="254" t="s">
        <v>72</v>
      </c>
      <c r="L4" s="21" t="s">
        <v>16</v>
      </c>
      <c r="M4" s="12" t="s">
        <v>103</v>
      </c>
      <c r="N4" s="12" t="s">
        <v>26</v>
      </c>
      <c r="O4" s="14" t="s">
        <v>46</v>
      </c>
      <c r="P4" s="12" t="s">
        <v>104</v>
      </c>
      <c r="Q4" s="2"/>
      <c r="R4" s="18" t="s">
        <v>191</v>
      </c>
    </row>
    <row r="5" spans="1:16" ht="12.75">
      <c r="A5" s="41"/>
      <c r="B5" s="41"/>
      <c r="C5" s="47"/>
      <c r="D5" s="47"/>
      <c r="E5" s="12"/>
      <c r="F5" s="12"/>
      <c r="G5" s="12"/>
      <c r="H5" s="12"/>
      <c r="I5" s="251"/>
      <c r="J5" s="12"/>
      <c r="K5" s="255"/>
      <c r="L5" s="14"/>
      <c r="M5" s="12"/>
      <c r="N5" s="12"/>
      <c r="O5" s="14"/>
      <c r="P5" s="13"/>
    </row>
    <row r="6" spans="1:16" ht="12.75">
      <c r="A6" s="41" t="s">
        <v>73</v>
      </c>
      <c r="B6" s="41"/>
      <c r="C6" s="47"/>
      <c r="D6" s="47"/>
      <c r="E6" s="12"/>
      <c r="F6" s="12"/>
      <c r="G6" s="12"/>
      <c r="H6" s="12">
        <v>0</v>
      </c>
      <c r="I6" s="251"/>
      <c r="J6" s="12"/>
      <c r="K6" s="255">
        <v>0</v>
      </c>
      <c r="L6" s="14"/>
      <c r="M6" s="12"/>
      <c r="N6" s="12"/>
      <c r="O6" s="14"/>
      <c r="P6" s="13"/>
    </row>
    <row r="7" spans="1:18" ht="24" customHeight="1">
      <c r="A7" s="214"/>
      <c r="B7" s="214"/>
      <c r="C7" s="214">
        <v>2</v>
      </c>
      <c r="D7" s="215" t="s">
        <v>212</v>
      </c>
      <c r="E7" s="41">
        <v>5401</v>
      </c>
      <c r="F7" s="41">
        <v>0.96</v>
      </c>
      <c r="G7" s="41">
        <v>0.47</v>
      </c>
      <c r="H7" s="41">
        <f aca="true" t="shared" si="0" ref="H7:H17">E7*(F7+G7)</f>
        <v>7723.429999999999</v>
      </c>
      <c r="I7" s="216">
        <f>ROUND(H7,0)</f>
        <v>7723</v>
      </c>
      <c r="J7" s="41"/>
      <c r="K7" s="236">
        <f>ROUND(I7*J7,2)</f>
        <v>0</v>
      </c>
      <c r="L7" s="217">
        <f>ROUND(B7*K7,2)</f>
        <v>0</v>
      </c>
      <c r="M7" s="41"/>
      <c r="N7" s="218">
        <f>L7*M7/100</f>
        <v>0</v>
      </c>
      <c r="O7" s="40">
        <f>L7+N7</f>
        <v>0</v>
      </c>
      <c r="P7" s="218">
        <f>B7</f>
        <v>0</v>
      </c>
      <c r="Q7" s="128"/>
      <c r="R7" s="54"/>
    </row>
    <row r="8" spans="1:18" ht="24" customHeight="1">
      <c r="A8" s="214" t="s">
        <v>74</v>
      </c>
      <c r="B8" s="214"/>
      <c r="C8" s="214">
        <v>2</v>
      </c>
      <c r="D8" s="215" t="s">
        <v>212</v>
      </c>
      <c r="E8" s="41">
        <v>5401</v>
      </c>
      <c r="F8" s="41">
        <v>0.96</v>
      </c>
      <c r="G8" s="41">
        <v>0.47</v>
      </c>
      <c r="H8" s="41">
        <f>E8*(F8+G8)</f>
        <v>7723.429999999999</v>
      </c>
      <c r="I8" s="216">
        <f>ROUND(H8,0)</f>
        <v>7723</v>
      </c>
      <c r="J8" s="41"/>
      <c r="K8" s="236">
        <f>ROUND(I8*J8,2)</f>
        <v>0</v>
      </c>
      <c r="L8" s="217">
        <f>ROUND(B8*K8,2)</f>
        <v>0</v>
      </c>
      <c r="M8" s="41"/>
      <c r="N8" s="218">
        <f>L8*M8/100</f>
        <v>0</v>
      </c>
      <c r="O8" s="40">
        <f>L8+N8</f>
        <v>0</v>
      </c>
      <c r="P8" s="218">
        <f>B8</f>
        <v>0</v>
      </c>
      <c r="R8" s="54"/>
    </row>
    <row r="9" spans="1:20" s="93" customFormat="1" ht="22.5">
      <c r="A9" s="92" t="s">
        <v>116</v>
      </c>
      <c r="B9" s="94">
        <f>SUM(B7:B8)</f>
        <v>0</v>
      </c>
      <c r="C9" s="94"/>
      <c r="D9" s="94"/>
      <c r="E9" s="94"/>
      <c r="F9" s="94"/>
      <c r="G9" s="94"/>
      <c r="H9" s="219">
        <f t="shared" si="0"/>
        <v>0</v>
      </c>
      <c r="I9" s="224"/>
      <c r="J9" s="94"/>
      <c r="K9" s="236"/>
      <c r="L9" s="94">
        <f>SUM(L7:L8)</f>
        <v>0</v>
      </c>
      <c r="M9" s="94">
        <f>SUM(M7:M8)</f>
        <v>0</v>
      </c>
      <c r="N9" s="94">
        <f>SUM(N7:N8)</f>
        <v>0</v>
      </c>
      <c r="O9" s="94">
        <f>SUM(O7:O8)</f>
        <v>0</v>
      </c>
      <c r="P9" s="94">
        <f>SUM(P7:P8)</f>
        <v>0</v>
      </c>
      <c r="Q9" s="120" t="s">
        <v>192</v>
      </c>
      <c r="R9" s="93">
        <f>B9</f>
        <v>0</v>
      </c>
      <c r="S9" s="93">
        <f>L9</f>
        <v>0</v>
      </c>
      <c r="T9" s="93" t="s">
        <v>210</v>
      </c>
    </row>
    <row r="10" spans="1:20" ht="12.75">
      <c r="A10" s="41"/>
      <c r="B10" s="41"/>
      <c r="C10" s="41">
        <v>2</v>
      </c>
      <c r="D10" s="220" t="s">
        <v>189</v>
      </c>
      <c r="E10" s="41">
        <v>5401</v>
      </c>
      <c r="F10" s="41">
        <v>0.96</v>
      </c>
      <c r="G10" s="41">
        <v>0.31</v>
      </c>
      <c r="H10" s="41">
        <f>E10*(F10+G10)</f>
        <v>6859.27</v>
      </c>
      <c r="I10" s="216">
        <f>ROUND(H10,0)</f>
        <v>6859</v>
      </c>
      <c r="J10" s="41"/>
      <c r="K10" s="236">
        <f>ROUND(I10*J10,2)</f>
        <v>0</v>
      </c>
      <c r="L10" s="105">
        <f>ROUND(B10*K10,2)</f>
        <v>0</v>
      </c>
      <c r="M10" s="41"/>
      <c r="N10" s="218">
        <f>L10*M10/100</f>
        <v>0</v>
      </c>
      <c r="O10" s="40">
        <f>L10+N10</f>
        <v>0</v>
      </c>
      <c r="P10" s="218">
        <f>B10</f>
        <v>0</v>
      </c>
      <c r="R10" s="54">
        <f>B11+B14+B16+B19</f>
        <v>0</v>
      </c>
      <c r="S10" s="54">
        <f>L11+L14+L16+L19</f>
        <v>0</v>
      </c>
      <c r="T10" t="s">
        <v>223</v>
      </c>
    </row>
    <row r="11" spans="1:17" s="93" customFormat="1" ht="12.75">
      <c r="A11" s="92" t="s">
        <v>190</v>
      </c>
      <c r="B11" s="94">
        <f>SUM(B10)</f>
        <v>0</v>
      </c>
      <c r="C11" s="94"/>
      <c r="D11" s="94"/>
      <c r="E11" s="94"/>
      <c r="F11" s="94"/>
      <c r="G11" s="94"/>
      <c r="H11" s="219">
        <f>E11*(F11+G11)</f>
        <v>0</v>
      </c>
      <c r="I11" s="252"/>
      <c r="J11" s="94"/>
      <c r="K11" s="236"/>
      <c r="L11" s="124">
        <f>SUM(L10)</f>
        <v>0</v>
      </c>
      <c r="M11" s="94"/>
      <c r="N11" s="124">
        <f>SUM(N10)</f>
        <v>0</v>
      </c>
      <c r="O11" s="124">
        <f>SUM(O10)</f>
        <v>0</v>
      </c>
      <c r="P11" s="124">
        <f>SUM(P10)</f>
        <v>0</v>
      </c>
      <c r="Q11" s="120"/>
    </row>
    <row r="12" spans="1:17" s="18" customFormat="1" ht="45">
      <c r="A12" s="41"/>
      <c r="B12" s="41"/>
      <c r="C12" s="41">
        <v>2</v>
      </c>
      <c r="D12" s="221" t="s">
        <v>211</v>
      </c>
      <c r="E12" s="41">
        <v>5401</v>
      </c>
      <c r="F12" s="41">
        <v>0.96</v>
      </c>
      <c r="G12" s="41">
        <v>0.31</v>
      </c>
      <c r="H12" s="41">
        <f t="shared" si="0"/>
        <v>6859.27</v>
      </c>
      <c r="I12" s="216">
        <f>ROUND(H12,0)</f>
        <v>6859</v>
      </c>
      <c r="J12" s="41"/>
      <c r="K12" s="236">
        <f>ROUND(I12*J12,2)</f>
        <v>0</v>
      </c>
      <c r="L12" s="105">
        <f aca="true" t="shared" si="1" ref="L12:L68">ROUND(B12*K12,2)</f>
        <v>0</v>
      </c>
      <c r="M12" s="41"/>
      <c r="N12" s="218">
        <f>ROUND(L12*M12/100,2)</f>
        <v>0</v>
      </c>
      <c r="O12" s="40">
        <f>L12+N12</f>
        <v>0</v>
      </c>
      <c r="P12" s="218">
        <f>B12</f>
        <v>0</v>
      </c>
      <c r="Q12" s="2"/>
    </row>
    <row r="13" spans="1:16" ht="45">
      <c r="A13" s="41"/>
      <c r="B13" s="41"/>
      <c r="C13" s="41">
        <v>2</v>
      </c>
      <c r="D13" s="221" t="s">
        <v>211</v>
      </c>
      <c r="E13" s="41">
        <v>5401</v>
      </c>
      <c r="F13" s="41">
        <v>0.96</v>
      </c>
      <c r="G13" s="41">
        <v>0.31</v>
      </c>
      <c r="H13" s="41">
        <f>E13*(F13+G13)</f>
        <v>6859.27</v>
      </c>
      <c r="I13" s="216">
        <f>ROUND(H13,0)</f>
        <v>6859</v>
      </c>
      <c r="J13" s="41"/>
      <c r="K13" s="236">
        <f>ROUND(I13*J13,2)</f>
        <v>0</v>
      </c>
      <c r="L13" s="105">
        <f t="shared" si="1"/>
        <v>0</v>
      </c>
      <c r="M13" s="41"/>
      <c r="N13" s="218">
        <f>ROUND(L13*M13/100,2)</f>
        <v>0</v>
      </c>
      <c r="O13" s="40">
        <f>L13+N13</f>
        <v>0</v>
      </c>
      <c r="P13" s="218">
        <f>B13</f>
        <v>0</v>
      </c>
    </row>
    <row r="14" spans="1:18" s="95" customFormat="1" ht="12.75">
      <c r="A14" s="94" t="s">
        <v>117</v>
      </c>
      <c r="B14" s="94">
        <f>SUM(B12:B13)</f>
        <v>0</v>
      </c>
      <c r="C14" s="94"/>
      <c r="D14" s="94"/>
      <c r="E14" s="94"/>
      <c r="F14" s="94"/>
      <c r="G14" s="94"/>
      <c r="H14" s="219">
        <f t="shared" si="0"/>
        <v>0</v>
      </c>
      <c r="I14" s="252"/>
      <c r="J14" s="94"/>
      <c r="K14" s="236"/>
      <c r="L14" s="124">
        <f>SUM(L12:L13)</f>
        <v>0</v>
      </c>
      <c r="M14" s="124"/>
      <c r="N14" s="124">
        <f>SUM(N12:N13)</f>
        <v>0</v>
      </c>
      <c r="O14" s="124">
        <f>SUM(O12:O13)</f>
        <v>0</v>
      </c>
      <c r="P14" s="124">
        <f>SUM(P12:P13)</f>
        <v>0</v>
      </c>
      <c r="Q14" s="121">
        <f>L11+L14+L16+L19</f>
        <v>0</v>
      </c>
      <c r="R14" s="274"/>
    </row>
    <row r="15" spans="1:16" ht="12.75">
      <c r="A15" s="41"/>
      <c r="B15" s="41"/>
      <c r="C15" s="41">
        <v>2</v>
      </c>
      <c r="D15" s="220" t="s">
        <v>148</v>
      </c>
      <c r="E15" s="41">
        <v>5401</v>
      </c>
      <c r="F15" s="41">
        <v>0.96</v>
      </c>
      <c r="G15" s="41">
        <v>0.47</v>
      </c>
      <c r="H15" s="41">
        <f t="shared" si="0"/>
        <v>7723.429999999999</v>
      </c>
      <c r="I15" s="216">
        <f>ROUND(H15,0)</f>
        <v>7723</v>
      </c>
      <c r="J15" s="41"/>
      <c r="K15" s="236">
        <f>ROUND(I15*J15,2)</f>
        <v>0</v>
      </c>
      <c r="L15" s="105">
        <f t="shared" si="1"/>
        <v>0</v>
      </c>
      <c r="M15" s="41"/>
      <c r="N15" s="218">
        <f>L15*M15/100</f>
        <v>0</v>
      </c>
      <c r="O15" s="40"/>
      <c r="P15" s="222">
        <f>B15</f>
        <v>0</v>
      </c>
    </row>
    <row r="16" spans="1:17" s="95" customFormat="1" ht="12.75">
      <c r="A16" s="96" t="s">
        <v>149</v>
      </c>
      <c r="B16" s="94">
        <f>SUM(B15:B15)</f>
        <v>0</v>
      </c>
      <c r="C16" s="94"/>
      <c r="D16" s="94"/>
      <c r="E16" s="94"/>
      <c r="F16" s="94"/>
      <c r="G16" s="94"/>
      <c r="H16" s="219">
        <f t="shared" si="0"/>
        <v>0</v>
      </c>
      <c r="I16" s="252"/>
      <c r="J16" s="94"/>
      <c r="K16" s="236"/>
      <c r="L16" s="124">
        <f>SUM(L15:L15)</f>
        <v>0</v>
      </c>
      <c r="M16" s="94"/>
      <c r="N16" s="124"/>
      <c r="O16" s="124"/>
      <c r="P16" s="124">
        <f>SUM(P15)</f>
        <v>0</v>
      </c>
      <c r="Q16" s="122"/>
    </row>
    <row r="17" spans="1:16" ht="12.75">
      <c r="A17" s="41"/>
      <c r="B17" s="41"/>
      <c r="C17" s="41">
        <v>2</v>
      </c>
      <c r="D17" s="220" t="s">
        <v>118</v>
      </c>
      <c r="E17" s="41">
        <v>5401</v>
      </c>
      <c r="F17" s="41">
        <v>0.96</v>
      </c>
      <c r="G17" s="41">
        <v>0.47</v>
      </c>
      <c r="H17" s="41">
        <f t="shared" si="0"/>
        <v>7723.429999999999</v>
      </c>
      <c r="I17" s="216">
        <f>ROUND(H17,0)</f>
        <v>7723</v>
      </c>
      <c r="J17" s="41"/>
      <c r="K17" s="236">
        <f>ROUND(I17*J17,2)</f>
        <v>0</v>
      </c>
      <c r="L17" s="105">
        <f t="shared" si="1"/>
        <v>0</v>
      </c>
      <c r="M17" s="41"/>
      <c r="N17" s="218">
        <f>L17*M17/100</f>
        <v>0</v>
      </c>
      <c r="O17" s="40"/>
      <c r="P17" s="222">
        <f>B17</f>
        <v>0</v>
      </c>
    </row>
    <row r="18" spans="1:20" ht="12.75" hidden="1">
      <c r="A18" s="41"/>
      <c r="B18" s="41"/>
      <c r="C18" s="41">
        <v>2</v>
      </c>
      <c r="D18" s="220" t="s">
        <v>118</v>
      </c>
      <c r="E18" s="41"/>
      <c r="F18" s="41">
        <v>0.96</v>
      </c>
      <c r="G18" s="41">
        <v>0.47</v>
      </c>
      <c r="H18" s="41">
        <f>E18*(F18+G18)</f>
        <v>0</v>
      </c>
      <c r="I18" s="226">
        <f>ROUND(H18,2)</f>
        <v>0</v>
      </c>
      <c r="J18" s="41">
        <v>1.2</v>
      </c>
      <c r="K18" s="236">
        <f>ROUND(I18*J18,2)</f>
        <v>0</v>
      </c>
      <c r="L18" s="105">
        <f t="shared" si="1"/>
        <v>0</v>
      </c>
      <c r="M18" s="223"/>
      <c r="N18" s="218">
        <f>L18*M18/100</f>
        <v>0</v>
      </c>
      <c r="O18" s="40"/>
      <c r="P18" s="222">
        <f>B18</f>
        <v>0</v>
      </c>
      <c r="Q18" s="1">
        <f>B11+B14+B16+B19</f>
        <v>0</v>
      </c>
      <c r="R18" s="54">
        <f>L11+L14+L16+L19</f>
        <v>0</v>
      </c>
      <c r="S18" s="54">
        <f>L11+N11</f>
        <v>0</v>
      </c>
      <c r="T18" s="54">
        <f>N11+N14</f>
        <v>0</v>
      </c>
    </row>
    <row r="19" spans="1:17" s="93" customFormat="1" ht="22.5">
      <c r="A19" s="92" t="s">
        <v>119</v>
      </c>
      <c r="B19" s="94">
        <f>SUM(B17:B18)</f>
        <v>0</v>
      </c>
      <c r="C19" s="94"/>
      <c r="D19" s="94"/>
      <c r="E19" s="94"/>
      <c r="F19" s="94"/>
      <c r="G19" s="94"/>
      <c r="H19" s="219">
        <f>E19*(F19+G19)</f>
        <v>0</v>
      </c>
      <c r="I19" s="252"/>
      <c r="J19" s="94"/>
      <c r="K19" s="236"/>
      <c r="L19" s="124">
        <f>SUM(L17:L18)</f>
        <v>0</v>
      </c>
      <c r="M19" s="94"/>
      <c r="N19" s="124">
        <f>SUM(N17:N18)</f>
        <v>0</v>
      </c>
      <c r="O19" s="124"/>
      <c r="P19" s="124">
        <f>SUM(P17:P18)</f>
        <v>0</v>
      </c>
      <c r="Q19" s="120"/>
    </row>
    <row r="20" spans="1:17" s="18" customFormat="1" ht="12.75">
      <c r="A20" s="41"/>
      <c r="B20" s="41"/>
      <c r="C20" s="41">
        <v>1</v>
      </c>
      <c r="D20" s="41" t="s">
        <v>114</v>
      </c>
      <c r="E20" s="41">
        <v>5401</v>
      </c>
      <c r="F20" s="41">
        <v>0.8</v>
      </c>
      <c r="G20" s="41">
        <v>0.31</v>
      </c>
      <c r="H20" s="41">
        <f>E20*(F20+G20)</f>
        <v>5995.110000000001</v>
      </c>
      <c r="I20" s="216">
        <f>ROUND(H20,0)</f>
        <v>5995</v>
      </c>
      <c r="J20" s="41"/>
      <c r="K20" s="236">
        <f>ROUND(I20*J20,2)</f>
        <v>0</v>
      </c>
      <c r="L20" s="105">
        <f t="shared" si="1"/>
        <v>0</v>
      </c>
      <c r="M20" s="41"/>
      <c r="N20" s="218">
        <f>L20*M20/100</f>
        <v>0</v>
      </c>
      <c r="O20" s="40"/>
      <c r="P20" s="222">
        <f>B20</f>
        <v>0</v>
      </c>
      <c r="Q20" s="2"/>
    </row>
    <row r="21" spans="1:18" ht="12.75">
      <c r="A21" s="41" t="s">
        <v>74</v>
      </c>
      <c r="B21" s="41"/>
      <c r="C21" s="41">
        <v>1</v>
      </c>
      <c r="D21" s="41" t="s">
        <v>114</v>
      </c>
      <c r="E21" s="41">
        <v>5401</v>
      </c>
      <c r="F21" s="41">
        <v>0.8</v>
      </c>
      <c r="G21" s="41">
        <v>0.31</v>
      </c>
      <c r="H21" s="41">
        <v>5322.45</v>
      </c>
      <c r="I21" s="216">
        <f>ROUND(H21,0)</f>
        <v>5322</v>
      </c>
      <c r="J21" s="41"/>
      <c r="K21" s="236">
        <f>ROUND(I21*J21,2)</f>
        <v>0</v>
      </c>
      <c r="L21" s="105">
        <f t="shared" si="1"/>
        <v>0</v>
      </c>
      <c r="M21" s="41"/>
      <c r="N21" s="218">
        <f>L21*M21/100</f>
        <v>0</v>
      </c>
      <c r="O21" s="40"/>
      <c r="P21" s="222">
        <f>B21</f>
        <v>0</v>
      </c>
      <c r="R21" s="54"/>
    </row>
    <row r="22" spans="1:17" s="95" customFormat="1" ht="12.75">
      <c r="A22" s="96" t="s">
        <v>115</v>
      </c>
      <c r="B22" s="94">
        <f>SUM(B20:B21)</f>
        <v>0</v>
      </c>
      <c r="C22" s="94"/>
      <c r="D22" s="94"/>
      <c r="E22" s="94"/>
      <c r="F22" s="94"/>
      <c r="G22" s="94"/>
      <c r="H22" s="94"/>
      <c r="I22" s="252"/>
      <c r="J22" s="94"/>
      <c r="K22" s="256"/>
      <c r="L22" s="124">
        <f>SUM(L20:L21)</f>
        <v>0</v>
      </c>
      <c r="M22" s="94"/>
      <c r="N22" s="225">
        <f>K22*P23*M22/100</f>
        <v>0</v>
      </c>
      <c r="O22" s="124"/>
      <c r="P22" s="225">
        <f>SUM(P20:P21)</f>
        <v>0</v>
      </c>
      <c r="Q22" s="122"/>
    </row>
    <row r="23" spans="1:16" ht="12.75">
      <c r="A23" s="41"/>
      <c r="B23" s="41"/>
      <c r="C23" s="41">
        <v>2</v>
      </c>
      <c r="D23" s="41" t="s">
        <v>111</v>
      </c>
      <c r="E23" s="41">
        <v>5401</v>
      </c>
      <c r="F23" s="41">
        <v>0.96</v>
      </c>
      <c r="G23" s="41">
        <v>0.23</v>
      </c>
      <c r="H23" s="41">
        <f aca="true" t="shared" si="2" ref="H23:H33">E23*(F23+G23)</f>
        <v>6427.19</v>
      </c>
      <c r="I23" s="216">
        <f>ROUND(H23,0)</f>
        <v>6427</v>
      </c>
      <c r="J23" s="41"/>
      <c r="K23" s="236">
        <f>ROUND(I23*J23,2)</f>
        <v>0</v>
      </c>
      <c r="L23" s="105">
        <f t="shared" si="1"/>
        <v>0</v>
      </c>
      <c r="M23" s="41"/>
      <c r="N23" s="218">
        <f>K23*P24*M23/100</f>
        <v>0</v>
      </c>
      <c r="O23" s="40"/>
      <c r="P23" s="218">
        <f>B23</f>
        <v>0</v>
      </c>
    </row>
    <row r="24" spans="1:17" s="93" customFormat="1" ht="12.75">
      <c r="A24" s="96" t="s">
        <v>112</v>
      </c>
      <c r="B24" s="94">
        <f>SUM(B23:B23)</f>
        <v>0</v>
      </c>
      <c r="C24" s="94"/>
      <c r="D24" s="94"/>
      <c r="E24" s="94"/>
      <c r="F24" s="94"/>
      <c r="G24" s="94"/>
      <c r="H24" s="219">
        <f t="shared" si="2"/>
        <v>0</v>
      </c>
      <c r="I24" s="252"/>
      <c r="J24" s="94"/>
      <c r="K24" s="214"/>
      <c r="L24" s="124">
        <f>SUM(L23:L23)</f>
        <v>0</v>
      </c>
      <c r="M24" s="94">
        <f>SUM(M23:M23)</f>
        <v>0</v>
      </c>
      <c r="N24" s="94">
        <f>SUM(N23:N23)</f>
        <v>0</v>
      </c>
      <c r="O24" s="94"/>
      <c r="P24" s="225">
        <f>SUM(P23)</f>
        <v>0</v>
      </c>
      <c r="Q24" s="120"/>
    </row>
    <row r="25" spans="1:16" ht="12.75">
      <c r="A25" s="41"/>
      <c r="B25" s="41"/>
      <c r="C25" s="41">
        <v>2</v>
      </c>
      <c r="D25" s="220" t="s">
        <v>123</v>
      </c>
      <c r="E25" s="41">
        <v>5401</v>
      </c>
      <c r="F25" s="41">
        <v>0.96</v>
      </c>
      <c r="G25" s="41">
        <v>0.23</v>
      </c>
      <c r="H25" s="41">
        <f t="shared" si="2"/>
        <v>6427.19</v>
      </c>
      <c r="I25" s="216">
        <f aca="true" t="shared" si="3" ref="I25:I30">ROUND(H25,0)</f>
        <v>6427</v>
      </c>
      <c r="J25" s="41"/>
      <c r="K25" s="236">
        <f aca="true" t="shared" si="4" ref="K25:K30">ROUND(I25*J25,2)</f>
        <v>0</v>
      </c>
      <c r="L25" s="105">
        <f t="shared" si="1"/>
        <v>0</v>
      </c>
      <c r="M25" s="41"/>
      <c r="N25" s="218">
        <f>K25*P26*M25/100</f>
        <v>0</v>
      </c>
      <c r="O25" s="40"/>
      <c r="P25" s="218">
        <f aca="true" t="shared" si="5" ref="P25:P30">B25</f>
        <v>0</v>
      </c>
    </row>
    <row r="26" spans="1:17" s="18" customFormat="1" ht="12.75">
      <c r="A26" s="41"/>
      <c r="B26" s="41"/>
      <c r="C26" s="41">
        <v>2</v>
      </c>
      <c r="D26" s="220" t="s">
        <v>123</v>
      </c>
      <c r="E26" s="41">
        <v>5401</v>
      </c>
      <c r="F26" s="41">
        <v>0.96</v>
      </c>
      <c r="G26" s="41">
        <v>0.23</v>
      </c>
      <c r="H26" s="41">
        <f t="shared" si="2"/>
        <v>6427.19</v>
      </c>
      <c r="I26" s="216">
        <f t="shared" si="3"/>
        <v>6427</v>
      </c>
      <c r="J26" s="41"/>
      <c r="K26" s="236">
        <f t="shared" si="4"/>
        <v>0</v>
      </c>
      <c r="L26" s="105">
        <f t="shared" si="1"/>
        <v>0</v>
      </c>
      <c r="M26" s="41"/>
      <c r="N26" s="218">
        <f>L26/100*M26</f>
        <v>0</v>
      </c>
      <c r="O26" s="40"/>
      <c r="P26" s="218">
        <f t="shared" si="5"/>
        <v>0</v>
      </c>
      <c r="Q26" s="2"/>
    </row>
    <row r="27" spans="1:16" ht="12.75">
      <c r="A27" s="41"/>
      <c r="B27" s="41"/>
      <c r="C27" s="41">
        <v>2</v>
      </c>
      <c r="D27" s="220" t="s">
        <v>123</v>
      </c>
      <c r="E27" s="41">
        <v>5401</v>
      </c>
      <c r="F27" s="41">
        <v>0.96</v>
      </c>
      <c r="G27" s="41">
        <v>0.23</v>
      </c>
      <c r="H27" s="41">
        <f t="shared" si="2"/>
        <v>6427.19</v>
      </c>
      <c r="I27" s="216">
        <f t="shared" si="3"/>
        <v>6427</v>
      </c>
      <c r="J27" s="41"/>
      <c r="K27" s="236">
        <f t="shared" si="4"/>
        <v>0</v>
      </c>
      <c r="L27" s="105">
        <f t="shared" si="1"/>
        <v>0</v>
      </c>
      <c r="M27" s="41"/>
      <c r="N27" s="218">
        <f>K27*P28*M27/100</f>
        <v>0</v>
      </c>
      <c r="O27" s="40"/>
      <c r="P27" s="218">
        <f t="shared" si="5"/>
        <v>0</v>
      </c>
    </row>
    <row r="28" spans="1:17" ht="12.75">
      <c r="A28" s="41"/>
      <c r="B28" s="41"/>
      <c r="C28" s="41">
        <v>2</v>
      </c>
      <c r="D28" s="220" t="s">
        <v>123</v>
      </c>
      <c r="E28" s="41">
        <v>5401</v>
      </c>
      <c r="F28" s="41">
        <v>0.96</v>
      </c>
      <c r="G28" s="41">
        <v>0.23</v>
      </c>
      <c r="H28" s="41">
        <f t="shared" si="2"/>
        <v>6427.19</v>
      </c>
      <c r="I28" s="216">
        <f t="shared" si="3"/>
        <v>6427</v>
      </c>
      <c r="J28" s="41"/>
      <c r="K28" s="236">
        <f t="shared" si="4"/>
        <v>0</v>
      </c>
      <c r="L28" s="105">
        <f t="shared" si="1"/>
        <v>0</v>
      </c>
      <c r="M28" s="41"/>
      <c r="N28" s="218">
        <f>L28/100*M28</f>
        <v>0</v>
      </c>
      <c r="O28" s="40"/>
      <c r="P28" s="218">
        <f t="shared" si="5"/>
        <v>0</v>
      </c>
      <c r="Q28" s="70"/>
    </row>
    <row r="29" spans="1:17" ht="12.75">
      <c r="A29" s="41"/>
      <c r="B29" s="41"/>
      <c r="C29" s="41">
        <v>2</v>
      </c>
      <c r="D29" s="220" t="s">
        <v>123</v>
      </c>
      <c r="E29" s="41">
        <v>5401</v>
      </c>
      <c r="F29" s="41">
        <v>0.96</v>
      </c>
      <c r="G29" s="41">
        <v>0.23</v>
      </c>
      <c r="H29" s="41">
        <f t="shared" si="2"/>
        <v>6427.19</v>
      </c>
      <c r="I29" s="216">
        <f t="shared" si="3"/>
        <v>6427</v>
      </c>
      <c r="J29" s="41"/>
      <c r="K29" s="236">
        <f t="shared" si="4"/>
        <v>0</v>
      </c>
      <c r="L29" s="105">
        <f t="shared" si="1"/>
        <v>0</v>
      </c>
      <c r="M29" s="41"/>
      <c r="N29" s="218"/>
      <c r="O29" s="40"/>
      <c r="P29" s="218">
        <f t="shared" si="5"/>
        <v>0</v>
      </c>
      <c r="Q29" s="123"/>
    </row>
    <row r="30" spans="1:17" ht="12.75">
      <c r="A30" s="41" t="s">
        <v>74</v>
      </c>
      <c r="B30" s="41"/>
      <c r="C30" s="41">
        <v>2</v>
      </c>
      <c r="D30" s="220" t="s">
        <v>123</v>
      </c>
      <c r="E30" s="41">
        <v>5401</v>
      </c>
      <c r="F30" s="41">
        <v>0.96</v>
      </c>
      <c r="G30" s="41">
        <v>0.23</v>
      </c>
      <c r="H30" s="41">
        <f t="shared" si="2"/>
        <v>6427.19</v>
      </c>
      <c r="I30" s="216">
        <f t="shared" si="3"/>
        <v>6427</v>
      </c>
      <c r="J30" s="41"/>
      <c r="K30" s="236">
        <f t="shared" si="4"/>
        <v>0</v>
      </c>
      <c r="L30" s="105">
        <f t="shared" si="1"/>
        <v>0</v>
      </c>
      <c r="M30" s="41"/>
      <c r="N30" s="218"/>
      <c r="O30" s="40"/>
      <c r="P30" s="218">
        <f t="shared" si="5"/>
        <v>0</v>
      </c>
      <c r="Q30" s="123"/>
    </row>
    <row r="31" spans="1:17" s="95" customFormat="1" ht="12.75">
      <c r="A31" s="96" t="s">
        <v>124</v>
      </c>
      <c r="B31" s="94">
        <f>SUM(B25:B30)</f>
        <v>0</v>
      </c>
      <c r="C31" s="94"/>
      <c r="D31" s="94"/>
      <c r="E31" s="94"/>
      <c r="F31" s="94"/>
      <c r="G31" s="94"/>
      <c r="H31" s="219">
        <f t="shared" si="2"/>
        <v>0</v>
      </c>
      <c r="I31" s="252"/>
      <c r="J31" s="94"/>
      <c r="K31" s="214"/>
      <c r="L31" s="124">
        <f>SUM(L25:L30)</f>
        <v>0</v>
      </c>
      <c r="M31" s="94"/>
      <c r="N31" s="124">
        <f>SUM(N25:N28)</f>
        <v>0</v>
      </c>
      <c r="O31" s="124"/>
      <c r="P31" s="225">
        <f>SUM(P25:P28)</f>
        <v>0</v>
      </c>
      <c r="Q31" s="122"/>
    </row>
    <row r="32" spans="1:17" ht="12.75">
      <c r="A32" s="41"/>
      <c r="B32" s="41"/>
      <c r="C32" s="41">
        <v>1</v>
      </c>
      <c r="D32" s="41" t="s">
        <v>127</v>
      </c>
      <c r="E32" s="41">
        <v>5401</v>
      </c>
      <c r="F32" s="41">
        <v>0.96</v>
      </c>
      <c r="G32" s="41">
        <v>0.23</v>
      </c>
      <c r="H32" s="41">
        <f t="shared" si="2"/>
        <v>6427.19</v>
      </c>
      <c r="I32" s="216">
        <f>ROUND(H32,0)</f>
        <v>6427</v>
      </c>
      <c r="J32" s="41"/>
      <c r="K32" s="236">
        <f>ROUND(I32*J32,2)</f>
        <v>0</v>
      </c>
      <c r="L32" s="105">
        <f t="shared" si="1"/>
        <v>0</v>
      </c>
      <c r="M32" s="41"/>
      <c r="N32" s="218"/>
      <c r="O32" s="40"/>
      <c r="P32" s="218">
        <v>0.5</v>
      </c>
      <c r="Q32" s="123"/>
    </row>
    <row r="33" spans="1:17" ht="12.75">
      <c r="A33" s="41"/>
      <c r="B33" s="41"/>
      <c r="C33" s="41">
        <v>1</v>
      </c>
      <c r="D33" s="41" t="s">
        <v>127</v>
      </c>
      <c r="E33" s="41">
        <v>5401</v>
      </c>
      <c r="F33" s="41">
        <v>0.96</v>
      </c>
      <c r="G33" s="41">
        <v>0.23</v>
      </c>
      <c r="H33" s="41">
        <f t="shared" si="2"/>
        <v>6427.19</v>
      </c>
      <c r="I33" s="216">
        <f>ROUND(H33,0)</f>
        <v>6427</v>
      </c>
      <c r="J33" s="41"/>
      <c r="K33" s="236">
        <f>ROUND(I33*J33,2)</f>
        <v>0</v>
      </c>
      <c r="L33" s="105">
        <f t="shared" si="1"/>
        <v>0</v>
      </c>
      <c r="M33" s="41"/>
      <c r="N33" s="218"/>
      <c r="O33" s="40"/>
      <c r="P33" s="218">
        <v>0.5</v>
      </c>
      <c r="Q33" s="123"/>
    </row>
    <row r="34" spans="1:17" ht="12.75">
      <c r="A34" s="41" t="s">
        <v>74</v>
      </c>
      <c r="B34" s="41"/>
      <c r="C34" s="41">
        <v>1</v>
      </c>
      <c r="D34" s="41" t="s">
        <v>127</v>
      </c>
      <c r="E34" s="41">
        <v>5401</v>
      </c>
      <c r="F34" s="41">
        <v>0.96</v>
      </c>
      <c r="G34" s="41">
        <v>0.23</v>
      </c>
      <c r="H34" s="41">
        <f>E34*(F34+G34)</f>
        <v>6427.19</v>
      </c>
      <c r="I34" s="216">
        <f>ROUND(H34,0)</f>
        <v>6427</v>
      </c>
      <c r="J34" s="41"/>
      <c r="K34" s="236">
        <f>ROUND(I34*J34,2)</f>
        <v>0</v>
      </c>
      <c r="L34" s="105">
        <f>ROUND(B34*K34,2)</f>
        <v>0</v>
      </c>
      <c r="M34" s="41"/>
      <c r="N34" s="218"/>
      <c r="O34" s="40"/>
      <c r="P34" s="218">
        <v>0.5</v>
      </c>
      <c r="Q34" s="123"/>
    </row>
    <row r="35" spans="1:17" s="93" customFormat="1" ht="12.75">
      <c r="A35" s="96" t="s">
        <v>161</v>
      </c>
      <c r="B35" s="94">
        <f>SUM(B32:B34)</f>
        <v>0</v>
      </c>
      <c r="C35" s="94"/>
      <c r="D35" s="94"/>
      <c r="E35" s="94"/>
      <c r="F35" s="94"/>
      <c r="G35" s="94"/>
      <c r="H35" s="94"/>
      <c r="I35" s="252"/>
      <c r="J35" s="94"/>
      <c r="K35" s="256"/>
      <c r="L35" s="94">
        <f>SUM(L32:L34)</f>
        <v>0</v>
      </c>
      <c r="M35" s="94"/>
      <c r="N35" s="124"/>
      <c r="O35" s="124"/>
      <c r="P35" s="124">
        <f>SUM(P32:P33)</f>
        <v>1</v>
      </c>
      <c r="Q35" s="124"/>
    </row>
    <row r="36" spans="1:17" s="18" customFormat="1" ht="12.75">
      <c r="A36" s="41"/>
      <c r="B36" s="41"/>
      <c r="C36" s="41">
        <v>1</v>
      </c>
      <c r="D36" s="214" t="s">
        <v>125</v>
      </c>
      <c r="E36" s="41">
        <v>5401</v>
      </c>
      <c r="F36" s="41">
        <v>0.96</v>
      </c>
      <c r="G36" s="41">
        <v>0.47</v>
      </c>
      <c r="H36" s="41">
        <f>E36*(F36+G36)</f>
        <v>7723.429999999999</v>
      </c>
      <c r="I36" s="216">
        <f>ROUND(H36,0)</f>
        <v>7723</v>
      </c>
      <c r="J36" s="41"/>
      <c r="K36" s="236">
        <f>ROUND(I36*J36,2)</f>
        <v>0</v>
      </c>
      <c r="L36" s="228">
        <f t="shared" si="1"/>
        <v>0</v>
      </c>
      <c r="M36" s="41"/>
      <c r="N36" s="218">
        <f>L36*M36/100</f>
        <v>0</v>
      </c>
      <c r="O36" s="40"/>
      <c r="P36" s="222">
        <f>B36</f>
        <v>0</v>
      </c>
      <c r="Q36" s="2"/>
    </row>
    <row r="37" spans="1:17" s="18" customFormat="1" ht="12.75">
      <c r="A37" s="41" t="s">
        <v>74</v>
      </c>
      <c r="B37" s="41"/>
      <c r="C37" s="41">
        <v>1</v>
      </c>
      <c r="D37" s="214" t="s">
        <v>125</v>
      </c>
      <c r="E37" s="41">
        <v>5401</v>
      </c>
      <c r="F37" s="41">
        <v>0.96</v>
      </c>
      <c r="G37" s="41">
        <v>0.47</v>
      </c>
      <c r="H37" s="41">
        <f>E37*(F37+G37)</f>
        <v>7723.429999999999</v>
      </c>
      <c r="I37" s="216">
        <f>ROUND(H37,0)</f>
        <v>7723</v>
      </c>
      <c r="J37" s="41"/>
      <c r="K37" s="236">
        <f>ROUND(I37*J37,2)</f>
        <v>0</v>
      </c>
      <c r="L37" s="228">
        <f>ROUND(B37*K37,2)</f>
        <v>0</v>
      </c>
      <c r="M37" s="41"/>
      <c r="N37" s="218">
        <f>L37*M37/100</f>
        <v>0</v>
      </c>
      <c r="O37" s="40"/>
      <c r="P37" s="222">
        <f>B37</f>
        <v>0</v>
      </c>
      <c r="Q37" s="2"/>
    </row>
    <row r="38" spans="1:17" s="95" customFormat="1" ht="12.75">
      <c r="A38" s="96" t="s">
        <v>126</v>
      </c>
      <c r="B38" s="94">
        <f>SUM(B36:B37)</f>
        <v>0</v>
      </c>
      <c r="C38" s="94"/>
      <c r="D38" s="94"/>
      <c r="E38" s="94"/>
      <c r="F38" s="94"/>
      <c r="G38" s="94"/>
      <c r="H38" s="94"/>
      <c r="I38" s="252"/>
      <c r="J38" s="94"/>
      <c r="K38" s="256"/>
      <c r="L38" s="94">
        <f>SUM(L36:L37)</f>
        <v>0</v>
      </c>
      <c r="M38" s="94">
        <f>SUM(M36:M37)</f>
        <v>0</v>
      </c>
      <c r="N38" s="94">
        <f>SUM(N36:N37)</f>
        <v>0</v>
      </c>
      <c r="O38" s="94">
        <f>SUM(O36:O37)</f>
        <v>0</v>
      </c>
      <c r="P38" s="94">
        <f>SUM(P36:P37)</f>
        <v>0</v>
      </c>
      <c r="Q38" s="122"/>
    </row>
    <row r="39" spans="1:16" ht="12.75">
      <c r="A39" s="41"/>
      <c r="B39" s="41"/>
      <c r="C39" s="41">
        <v>1</v>
      </c>
      <c r="D39" s="41" t="s">
        <v>75</v>
      </c>
      <c r="E39" s="41">
        <v>5401</v>
      </c>
      <c r="F39" s="41">
        <v>0.8</v>
      </c>
      <c r="G39" s="41">
        <v>0.31</v>
      </c>
      <c r="H39" s="41">
        <f>E39*(F39+G39)</f>
        <v>5995.110000000001</v>
      </c>
      <c r="I39" s="216">
        <f>ROUND(H39,0)</f>
        <v>5995</v>
      </c>
      <c r="J39" s="41"/>
      <c r="K39" s="236">
        <f>ROUND(I39*J39,2)</f>
        <v>0</v>
      </c>
      <c r="L39" s="105">
        <f t="shared" si="1"/>
        <v>0</v>
      </c>
      <c r="M39" s="41"/>
      <c r="N39" s="218">
        <f>L39*M39/100</f>
        <v>0</v>
      </c>
      <c r="O39" s="40"/>
      <c r="P39" s="218">
        <f>B39</f>
        <v>0</v>
      </c>
    </row>
    <row r="40" spans="1:17" ht="12.75">
      <c r="A40" s="41"/>
      <c r="B40" s="41"/>
      <c r="C40" s="41">
        <v>1</v>
      </c>
      <c r="D40" s="41" t="s">
        <v>75</v>
      </c>
      <c r="E40" s="41">
        <v>5401</v>
      </c>
      <c r="F40" s="41">
        <v>0.8</v>
      </c>
      <c r="G40" s="41">
        <v>0.31</v>
      </c>
      <c r="H40" s="41">
        <f>E40*(F40+G40)</f>
        <v>5995.110000000001</v>
      </c>
      <c r="I40" s="216">
        <f>ROUND(H40,0)</f>
        <v>5995</v>
      </c>
      <c r="J40" s="41"/>
      <c r="K40" s="236">
        <f>ROUND(I40*J40,2)</f>
        <v>0</v>
      </c>
      <c r="L40" s="105">
        <f>ROUND(B40*K40,2)</f>
        <v>0</v>
      </c>
      <c r="M40" s="41">
        <v>0</v>
      </c>
      <c r="N40" s="218">
        <f>L40*M40/100</f>
        <v>0</v>
      </c>
      <c r="O40" s="40"/>
      <c r="P40" s="218">
        <f>B40</f>
        <v>0</v>
      </c>
      <c r="Q40" s="123"/>
    </row>
    <row r="41" spans="1:17" ht="12.75">
      <c r="A41" s="41" t="s">
        <v>74</v>
      </c>
      <c r="B41" s="41"/>
      <c r="C41" s="41">
        <v>1</v>
      </c>
      <c r="D41" s="41" t="s">
        <v>75</v>
      </c>
      <c r="E41" s="41">
        <v>5401</v>
      </c>
      <c r="F41" s="41">
        <v>0.8</v>
      </c>
      <c r="G41" s="41">
        <v>0.31</v>
      </c>
      <c r="H41" s="41">
        <f>E41*(F41+G41)</f>
        <v>5995.110000000001</v>
      </c>
      <c r="I41" s="216">
        <f>ROUND(H41,0)</f>
        <v>5995</v>
      </c>
      <c r="J41" s="41"/>
      <c r="K41" s="236">
        <f>ROUND(I41*J41,2)</f>
        <v>0</v>
      </c>
      <c r="L41" s="105">
        <f t="shared" si="1"/>
        <v>0</v>
      </c>
      <c r="M41" s="41"/>
      <c r="N41" s="218">
        <f>L41*M41/100</f>
        <v>0</v>
      </c>
      <c r="O41" s="40"/>
      <c r="P41" s="222">
        <f>B41</f>
        <v>0</v>
      </c>
      <c r="Q41" s="123"/>
    </row>
    <row r="42" spans="1:17" ht="12.75">
      <c r="A42" s="41" t="s">
        <v>74</v>
      </c>
      <c r="B42" s="41"/>
      <c r="C42" s="41">
        <v>1</v>
      </c>
      <c r="D42" s="227" t="s">
        <v>75</v>
      </c>
      <c r="E42" s="41">
        <v>5401</v>
      </c>
      <c r="F42" s="41">
        <v>0.8</v>
      </c>
      <c r="G42" s="41">
        <v>0.31</v>
      </c>
      <c r="H42" s="41">
        <f>E42*(F42+G42)</f>
        <v>5995.110000000001</v>
      </c>
      <c r="I42" s="216">
        <f>ROUND(H42,0)</f>
        <v>5995</v>
      </c>
      <c r="J42" s="41"/>
      <c r="K42" s="236">
        <f>ROUND(I42*J42,2)</f>
        <v>0</v>
      </c>
      <c r="L42" s="228">
        <f>ROUND(B42*K42,2)</f>
        <v>0</v>
      </c>
      <c r="M42" s="41"/>
      <c r="N42" s="218">
        <f>L42*M42/100</f>
        <v>0</v>
      </c>
      <c r="O42" s="40"/>
      <c r="P42" s="222">
        <f>B42</f>
        <v>0</v>
      </c>
      <c r="Q42" s="123" t="s">
        <v>192</v>
      </c>
    </row>
    <row r="43" spans="1:18" s="95" customFormat="1" ht="12.75">
      <c r="A43" s="96" t="s">
        <v>76</v>
      </c>
      <c r="B43" s="94">
        <f>SUM(B39:B42)</f>
        <v>0</v>
      </c>
      <c r="C43" s="94"/>
      <c r="D43" s="94"/>
      <c r="E43" s="94"/>
      <c r="F43" s="94"/>
      <c r="G43" s="94"/>
      <c r="H43" s="94"/>
      <c r="I43" s="252"/>
      <c r="J43" s="94"/>
      <c r="K43" s="256"/>
      <c r="L43" s="124">
        <f>SUM(L39:L42)</f>
        <v>0</v>
      </c>
      <c r="M43" s="124"/>
      <c r="N43" s="124">
        <f>SUM(N39:N41)</f>
        <v>0</v>
      </c>
      <c r="O43" s="124"/>
      <c r="P43" s="124">
        <f>SUM(P39:P41)</f>
        <v>0</v>
      </c>
      <c r="Q43" s="124"/>
      <c r="R43" s="107"/>
    </row>
    <row r="44" spans="1:16" ht="12.75">
      <c r="A44" s="41"/>
      <c r="B44" s="41"/>
      <c r="C44" s="41">
        <v>2</v>
      </c>
      <c r="D44" s="41" t="s">
        <v>88</v>
      </c>
      <c r="E44" s="41">
        <v>5401</v>
      </c>
      <c r="F44" s="41">
        <v>0.96</v>
      </c>
      <c r="G44" s="41">
        <v>0.23</v>
      </c>
      <c r="H44" s="41">
        <f>E44*(F44+G44)</f>
        <v>6427.19</v>
      </c>
      <c r="I44" s="216">
        <f>ROUND(H44,0)</f>
        <v>6427</v>
      </c>
      <c r="J44" s="41"/>
      <c r="K44" s="236">
        <f>ROUND(I44*J44,2)</f>
        <v>0</v>
      </c>
      <c r="L44" s="105">
        <f t="shared" si="1"/>
        <v>0</v>
      </c>
      <c r="M44" s="41"/>
      <c r="N44" s="218"/>
      <c r="O44" s="40"/>
      <c r="P44" s="218">
        <f>B44</f>
        <v>0</v>
      </c>
    </row>
    <row r="45" spans="1:16" ht="12.75">
      <c r="A45" s="41"/>
      <c r="B45" s="41"/>
      <c r="C45" s="41">
        <v>2</v>
      </c>
      <c r="D45" s="41" t="s">
        <v>88</v>
      </c>
      <c r="E45" s="41">
        <v>5401</v>
      </c>
      <c r="F45" s="41">
        <v>0.96</v>
      </c>
      <c r="G45" s="41">
        <v>0.23</v>
      </c>
      <c r="H45" s="41">
        <f>E45*(F45+G45)</f>
        <v>6427.19</v>
      </c>
      <c r="I45" s="216">
        <f>ROUND(H45,0)</f>
        <v>6427</v>
      </c>
      <c r="J45" s="41"/>
      <c r="K45" s="236">
        <f>ROUND(I45*J45,2)</f>
        <v>0</v>
      </c>
      <c r="L45" s="105">
        <f t="shared" si="1"/>
        <v>0</v>
      </c>
      <c r="M45" s="41"/>
      <c r="N45" s="218"/>
      <c r="O45" s="40"/>
      <c r="P45" s="218">
        <f>B45</f>
        <v>0</v>
      </c>
    </row>
    <row r="46" spans="1:16" ht="12.75">
      <c r="A46" s="41"/>
      <c r="B46" s="41"/>
      <c r="C46" s="41">
        <v>2</v>
      </c>
      <c r="D46" s="41" t="s">
        <v>88</v>
      </c>
      <c r="E46" s="41">
        <v>5401</v>
      </c>
      <c r="F46" s="41">
        <v>0.96</v>
      </c>
      <c r="G46" s="41">
        <v>0.23</v>
      </c>
      <c r="H46" s="41">
        <f>E46*(F46+G46)</f>
        <v>6427.19</v>
      </c>
      <c r="I46" s="216">
        <f>ROUND(H46,0)</f>
        <v>6427</v>
      </c>
      <c r="J46" s="41"/>
      <c r="K46" s="236">
        <f>ROUND(I46*J46,2)</f>
        <v>0</v>
      </c>
      <c r="L46" s="105">
        <f t="shared" si="1"/>
        <v>0</v>
      </c>
      <c r="M46" s="41"/>
      <c r="N46" s="218"/>
      <c r="O46" s="40"/>
      <c r="P46" s="218">
        <f>B46</f>
        <v>0</v>
      </c>
    </row>
    <row r="47" spans="1:16" ht="12.75">
      <c r="A47" s="41" t="s">
        <v>88</v>
      </c>
      <c r="B47" s="41"/>
      <c r="C47" s="41">
        <v>2</v>
      </c>
      <c r="D47" s="41" t="s">
        <v>88</v>
      </c>
      <c r="E47" s="41">
        <v>5401</v>
      </c>
      <c r="F47" s="41">
        <v>0.96</v>
      </c>
      <c r="G47" s="41">
        <v>0.23</v>
      </c>
      <c r="H47" s="41">
        <f>E47*(F47+G47)</f>
        <v>6427.19</v>
      </c>
      <c r="I47" s="216">
        <f>ROUND(H47,0)</f>
        <v>6427</v>
      </c>
      <c r="J47" s="41"/>
      <c r="K47" s="236">
        <f>ROUND(I47*J47,2)</f>
        <v>0</v>
      </c>
      <c r="L47" s="105">
        <f t="shared" si="1"/>
        <v>0</v>
      </c>
      <c r="M47" s="41"/>
      <c r="N47" s="218"/>
      <c r="O47" s="40"/>
      <c r="P47" s="218">
        <f>B47</f>
        <v>0</v>
      </c>
    </row>
    <row r="48" spans="1:17" s="95" customFormat="1" ht="12.75">
      <c r="A48" s="96" t="s">
        <v>128</v>
      </c>
      <c r="B48" s="94">
        <f>SUM(B44:B47)</f>
        <v>0</v>
      </c>
      <c r="C48" s="94"/>
      <c r="D48" s="94"/>
      <c r="E48" s="94"/>
      <c r="F48" s="94"/>
      <c r="G48" s="94"/>
      <c r="H48" s="94"/>
      <c r="I48" s="252"/>
      <c r="J48" s="94"/>
      <c r="K48" s="256"/>
      <c r="L48" s="124">
        <f>SUM(L44:L47)</f>
        <v>0</v>
      </c>
      <c r="M48" s="94"/>
      <c r="N48" s="94"/>
      <c r="O48" s="94"/>
      <c r="P48" s="124">
        <f>SUM(P44:P47)</f>
        <v>0</v>
      </c>
      <c r="Q48" s="122"/>
    </row>
    <row r="49" spans="1:16" ht="12.75">
      <c r="A49" s="41"/>
      <c r="B49" s="41"/>
      <c r="C49" s="41">
        <v>1</v>
      </c>
      <c r="D49" s="227" t="s">
        <v>147</v>
      </c>
      <c r="E49" s="41">
        <v>5401</v>
      </c>
      <c r="F49" s="41">
        <v>1.12</v>
      </c>
      <c r="G49" s="41">
        <v>0.31</v>
      </c>
      <c r="H49" s="41">
        <f>E49*(F49+G49)</f>
        <v>7723.430000000001</v>
      </c>
      <c r="I49" s="216">
        <f>ROUND(H49,0)</f>
        <v>7723</v>
      </c>
      <c r="J49" s="41"/>
      <c r="K49" s="236">
        <f>ROUND(I49*J49,2)</f>
        <v>0</v>
      </c>
      <c r="L49" s="228">
        <f t="shared" si="1"/>
        <v>0</v>
      </c>
      <c r="M49" s="41"/>
      <c r="N49" s="218"/>
      <c r="O49" s="40"/>
      <c r="P49" s="218">
        <f>B49</f>
        <v>0</v>
      </c>
    </row>
    <row r="50" spans="1:16" ht="12.75">
      <c r="A50" s="41"/>
      <c r="B50" s="41"/>
      <c r="C50" s="41">
        <v>1</v>
      </c>
      <c r="D50" s="227" t="s">
        <v>147</v>
      </c>
      <c r="E50" s="41">
        <v>5401</v>
      </c>
      <c r="F50" s="41">
        <v>1.12</v>
      </c>
      <c r="G50" s="41">
        <v>0.31</v>
      </c>
      <c r="H50" s="41">
        <f>E50*(F50+G50)</f>
        <v>7723.430000000001</v>
      </c>
      <c r="I50" s="216">
        <f>ROUND(H50,0)</f>
        <v>7723</v>
      </c>
      <c r="J50" s="41"/>
      <c r="K50" s="236">
        <f>ROUND(I50*J50,2)</f>
        <v>0</v>
      </c>
      <c r="L50" s="228">
        <f t="shared" si="1"/>
        <v>0</v>
      </c>
      <c r="M50" s="41"/>
      <c r="N50" s="218"/>
      <c r="O50" s="40"/>
      <c r="P50" s="218">
        <f>B50</f>
        <v>0</v>
      </c>
    </row>
    <row r="51" spans="1:16" ht="12.75">
      <c r="A51" s="41"/>
      <c r="B51" s="41"/>
      <c r="C51" s="41">
        <v>1</v>
      </c>
      <c r="D51" s="227" t="s">
        <v>147</v>
      </c>
      <c r="E51" s="41">
        <v>5401</v>
      </c>
      <c r="F51" s="41">
        <v>1.12</v>
      </c>
      <c r="G51" s="41">
        <v>0.31</v>
      </c>
      <c r="H51" s="41">
        <f>E51*(F51+G51)</f>
        <v>7723.430000000001</v>
      </c>
      <c r="I51" s="216">
        <f>ROUND(H51,0)</f>
        <v>7723</v>
      </c>
      <c r="J51" s="41"/>
      <c r="K51" s="236">
        <f>ROUND(I51*J51,2)</f>
        <v>0</v>
      </c>
      <c r="L51" s="228">
        <f t="shared" si="1"/>
        <v>0</v>
      </c>
      <c r="M51" s="41"/>
      <c r="N51" s="218"/>
      <c r="O51" s="40"/>
      <c r="P51" s="218">
        <f>B51</f>
        <v>0</v>
      </c>
    </row>
    <row r="52" spans="1:16" ht="12.75">
      <c r="A52" s="41"/>
      <c r="B52" s="41"/>
      <c r="C52" s="41">
        <v>1</v>
      </c>
      <c r="D52" s="227" t="s">
        <v>147</v>
      </c>
      <c r="E52" s="41">
        <v>5401</v>
      </c>
      <c r="F52" s="41">
        <v>1.12</v>
      </c>
      <c r="G52" s="41">
        <v>0.31</v>
      </c>
      <c r="H52" s="41">
        <f>E52*(F52+G52)</f>
        <v>7723.430000000001</v>
      </c>
      <c r="I52" s="216">
        <f>ROUND(H52,0)</f>
        <v>7723</v>
      </c>
      <c r="J52" s="41"/>
      <c r="K52" s="236">
        <f>ROUND(I52*J52,2)</f>
        <v>0</v>
      </c>
      <c r="L52" s="228">
        <f t="shared" si="1"/>
        <v>0</v>
      </c>
      <c r="M52" s="41"/>
      <c r="N52" s="218"/>
      <c r="O52" s="40"/>
      <c r="P52" s="218">
        <f>B52</f>
        <v>0</v>
      </c>
    </row>
    <row r="53" spans="1:17" s="93" customFormat="1" ht="12.75">
      <c r="A53" s="96" t="s">
        <v>146</v>
      </c>
      <c r="B53" s="94">
        <f>SUM(B49:B52)</f>
        <v>0</v>
      </c>
      <c r="C53" s="94"/>
      <c r="D53" s="94"/>
      <c r="E53" s="94"/>
      <c r="F53" s="94"/>
      <c r="G53" s="94"/>
      <c r="H53" s="94"/>
      <c r="I53" s="252"/>
      <c r="J53" s="94"/>
      <c r="K53" s="256"/>
      <c r="L53" s="124">
        <f>SUM(L49:L52)</f>
        <v>0</v>
      </c>
      <c r="M53" s="94"/>
      <c r="N53" s="124"/>
      <c r="O53" s="124"/>
      <c r="P53" s="124">
        <f>SUM(P49:P52)</f>
        <v>0</v>
      </c>
      <c r="Q53" s="120"/>
    </row>
    <row r="54" spans="1:16" ht="12.75">
      <c r="A54" s="41"/>
      <c r="B54" s="214"/>
      <c r="C54" s="41">
        <v>1</v>
      </c>
      <c r="D54" s="41" t="s">
        <v>77</v>
      </c>
      <c r="E54" s="41">
        <v>5401</v>
      </c>
      <c r="F54" s="41">
        <v>0.8</v>
      </c>
      <c r="G54" s="41">
        <v>0.31</v>
      </c>
      <c r="H54" s="41">
        <f aca="true" t="shared" si="6" ref="H54:H68">E54*(F54+G54)</f>
        <v>5995.110000000001</v>
      </c>
      <c r="I54" s="216">
        <f aca="true" t="shared" si="7" ref="I54:I66">ROUND(H54,0)</f>
        <v>5995</v>
      </c>
      <c r="J54" s="41"/>
      <c r="K54" s="236">
        <f aca="true" t="shared" si="8" ref="K54:K68">ROUND(I54*J54,2)</f>
        <v>0</v>
      </c>
      <c r="L54" s="217">
        <f t="shared" si="1"/>
        <v>0</v>
      </c>
      <c r="M54" s="41"/>
      <c r="N54" s="218">
        <f aca="true" t="shared" si="9" ref="N54:N59">L54*M54/100</f>
        <v>0</v>
      </c>
      <c r="O54" s="40"/>
      <c r="P54" s="40">
        <f aca="true" t="shared" si="10" ref="P54:P59">B54</f>
        <v>0</v>
      </c>
    </row>
    <row r="55" spans="1:16" ht="12.75">
      <c r="A55" s="41"/>
      <c r="B55" s="214"/>
      <c r="C55" s="41">
        <v>1</v>
      </c>
      <c r="D55" s="41" t="s">
        <v>77</v>
      </c>
      <c r="E55" s="41">
        <v>5401</v>
      </c>
      <c r="F55" s="41">
        <v>0.8</v>
      </c>
      <c r="G55" s="41">
        <v>0.31</v>
      </c>
      <c r="H55" s="41">
        <f t="shared" si="6"/>
        <v>5995.110000000001</v>
      </c>
      <c r="I55" s="216">
        <f t="shared" si="7"/>
        <v>5995</v>
      </c>
      <c r="J55" s="41"/>
      <c r="K55" s="236">
        <f t="shared" si="8"/>
        <v>0</v>
      </c>
      <c r="L55" s="217">
        <f t="shared" si="1"/>
        <v>0</v>
      </c>
      <c r="M55" s="41"/>
      <c r="N55" s="218">
        <f t="shared" si="9"/>
        <v>0</v>
      </c>
      <c r="O55" s="40"/>
      <c r="P55" s="40">
        <f t="shared" si="10"/>
        <v>0</v>
      </c>
    </row>
    <row r="56" spans="1:16" ht="12.75">
      <c r="A56" s="41"/>
      <c r="B56" s="41"/>
      <c r="C56" s="41">
        <v>1</v>
      </c>
      <c r="D56" s="41" t="s">
        <v>77</v>
      </c>
      <c r="E56" s="41">
        <v>5401</v>
      </c>
      <c r="F56" s="41">
        <v>0.8</v>
      </c>
      <c r="G56" s="41">
        <v>0.31</v>
      </c>
      <c r="H56" s="41">
        <f t="shared" si="6"/>
        <v>5995.110000000001</v>
      </c>
      <c r="I56" s="216">
        <f t="shared" si="7"/>
        <v>5995</v>
      </c>
      <c r="J56" s="41"/>
      <c r="K56" s="236">
        <f t="shared" si="8"/>
        <v>0</v>
      </c>
      <c r="L56" s="105">
        <f t="shared" si="1"/>
        <v>0</v>
      </c>
      <c r="M56" s="41"/>
      <c r="N56" s="218">
        <f t="shared" si="9"/>
        <v>0</v>
      </c>
      <c r="O56" s="40"/>
      <c r="P56" s="40">
        <f t="shared" si="10"/>
        <v>0</v>
      </c>
    </row>
    <row r="57" spans="1:16" ht="12.75">
      <c r="A57" s="41"/>
      <c r="B57" s="41"/>
      <c r="C57" s="41">
        <v>1</v>
      </c>
      <c r="D57" s="41" t="s">
        <v>77</v>
      </c>
      <c r="E57" s="41">
        <v>5401</v>
      </c>
      <c r="F57" s="41">
        <v>0.8</v>
      </c>
      <c r="G57" s="41">
        <v>0.31</v>
      </c>
      <c r="H57" s="41">
        <f t="shared" si="6"/>
        <v>5995.110000000001</v>
      </c>
      <c r="I57" s="216">
        <f t="shared" si="7"/>
        <v>5995</v>
      </c>
      <c r="J57" s="41"/>
      <c r="K57" s="236">
        <f t="shared" si="8"/>
        <v>0</v>
      </c>
      <c r="L57" s="105">
        <f t="shared" si="1"/>
        <v>0</v>
      </c>
      <c r="M57" s="41"/>
      <c r="N57" s="218">
        <f t="shared" si="9"/>
        <v>0</v>
      </c>
      <c r="O57" s="40"/>
      <c r="P57" s="40">
        <f t="shared" si="10"/>
        <v>0</v>
      </c>
    </row>
    <row r="58" spans="1:17" s="18" customFormat="1" ht="12.75">
      <c r="A58" s="41"/>
      <c r="B58" s="41"/>
      <c r="C58" s="41">
        <v>1</v>
      </c>
      <c r="D58" s="41" t="s">
        <v>77</v>
      </c>
      <c r="E58" s="41">
        <v>5401</v>
      </c>
      <c r="F58" s="41">
        <v>0.8</v>
      </c>
      <c r="G58" s="41">
        <v>0.31</v>
      </c>
      <c r="H58" s="41">
        <f t="shared" si="6"/>
        <v>5995.110000000001</v>
      </c>
      <c r="I58" s="216">
        <f t="shared" si="7"/>
        <v>5995</v>
      </c>
      <c r="J58" s="41"/>
      <c r="K58" s="236">
        <f t="shared" si="8"/>
        <v>0</v>
      </c>
      <c r="L58" s="105">
        <f t="shared" si="1"/>
        <v>0</v>
      </c>
      <c r="M58" s="41"/>
      <c r="N58" s="218">
        <f t="shared" si="9"/>
        <v>0</v>
      </c>
      <c r="O58" s="40"/>
      <c r="P58" s="40">
        <f t="shared" si="10"/>
        <v>0</v>
      </c>
      <c r="Q58" s="2"/>
    </row>
    <row r="59" spans="1:16" ht="12.75">
      <c r="A59" s="41"/>
      <c r="B59" s="41"/>
      <c r="C59" s="41">
        <v>1</v>
      </c>
      <c r="D59" s="41" t="s">
        <v>77</v>
      </c>
      <c r="E59" s="41">
        <v>5401</v>
      </c>
      <c r="F59" s="41">
        <v>0.8</v>
      </c>
      <c r="G59" s="41">
        <v>0.31</v>
      </c>
      <c r="H59" s="41">
        <f t="shared" si="6"/>
        <v>5995.110000000001</v>
      </c>
      <c r="I59" s="216">
        <f t="shared" si="7"/>
        <v>5995</v>
      </c>
      <c r="J59" s="41"/>
      <c r="K59" s="236">
        <f t="shared" si="8"/>
        <v>0</v>
      </c>
      <c r="L59" s="105">
        <f t="shared" si="1"/>
        <v>0</v>
      </c>
      <c r="M59" s="41"/>
      <c r="N59" s="218">
        <f t="shared" si="9"/>
        <v>0</v>
      </c>
      <c r="O59" s="40"/>
      <c r="P59" s="40">
        <f t="shared" si="10"/>
        <v>0</v>
      </c>
    </row>
    <row r="60" spans="1:20" ht="12.75">
      <c r="A60" s="41"/>
      <c r="B60" s="41"/>
      <c r="C60" s="41">
        <v>1</v>
      </c>
      <c r="D60" s="41" t="s">
        <v>77</v>
      </c>
      <c r="E60" s="41">
        <v>5401</v>
      </c>
      <c r="F60" s="41">
        <v>0.8</v>
      </c>
      <c r="G60" s="41">
        <v>0.31</v>
      </c>
      <c r="H60" s="41">
        <f t="shared" si="6"/>
        <v>5995.110000000001</v>
      </c>
      <c r="I60" s="216">
        <f t="shared" si="7"/>
        <v>5995</v>
      </c>
      <c r="J60" s="41"/>
      <c r="K60" s="236">
        <f aca="true" t="shared" si="11" ref="K60:K67">ROUND(I60*J60,2)</f>
        <v>0</v>
      </c>
      <c r="L60" s="105">
        <f aca="true" t="shared" si="12" ref="L60:L67">ROUND(B60*K60,2)</f>
        <v>0</v>
      </c>
      <c r="M60" s="41"/>
      <c r="N60" s="218">
        <f aca="true" t="shared" si="13" ref="N60:N67">L60*M60/100</f>
        <v>0</v>
      </c>
      <c r="O60" s="40"/>
      <c r="P60" s="40">
        <f aca="true" t="shared" si="14" ref="P60:P67">B60</f>
        <v>0</v>
      </c>
      <c r="T60" t="s">
        <v>145</v>
      </c>
    </row>
    <row r="61" spans="1:20" ht="12.75">
      <c r="A61" s="41"/>
      <c r="B61" s="41"/>
      <c r="C61" s="41">
        <v>1</v>
      </c>
      <c r="D61" s="41" t="s">
        <v>77</v>
      </c>
      <c r="E61" s="41">
        <v>5401</v>
      </c>
      <c r="F61" s="41">
        <v>0.8</v>
      </c>
      <c r="G61" s="41">
        <v>0.31</v>
      </c>
      <c r="H61" s="41">
        <f aca="true" t="shared" si="15" ref="H61:H67">E61*(F61+G61)</f>
        <v>5995.110000000001</v>
      </c>
      <c r="I61" s="216">
        <f t="shared" si="7"/>
        <v>5995</v>
      </c>
      <c r="J61" s="41"/>
      <c r="K61" s="236">
        <f t="shared" si="11"/>
        <v>0</v>
      </c>
      <c r="L61" s="105">
        <f t="shared" si="12"/>
        <v>0</v>
      </c>
      <c r="M61" s="41"/>
      <c r="N61" s="218">
        <f t="shared" si="13"/>
        <v>0</v>
      </c>
      <c r="O61" s="40"/>
      <c r="P61" s="40">
        <f t="shared" si="14"/>
        <v>0</v>
      </c>
      <c r="T61" t="s">
        <v>145</v>
      </c>
    </row>
    <row r="62" spans="1:20" ht="12.75">
      <c r="A62" s="41"/>
      <c r="B62" s="41"/>
      <c r="C62" s="41">
        <v>1</v>
      </c>
      <c r="D62" s="41" t="s">
        <v>77</v>
      </c>
      <c r="E62" s="41">
        <v>5401</v>
      </c>
      <c r="F62" s="41">
        <v>0.8</v>
      </c>
      <c r="G62" s="41">
        <v>0.31</v>
      </c>
      <c r="H62" s="41">
        <f t="shared" si="15"/>
        <v>5995.110000000001</v>
      </c>
      <c r="I62" s="216">
        <f t="shared" si="7"/>
        <v>5995</v>
      </c>
      <c r="J62" s="41"/>
      <c r="K62" s="236">
        <f t="shared" si="11"/>
        <v>0</v>
      </c>
      <c r="L62" s="105">
        <f t="shared" si="12"/>
        <v>0</v>
      </c>
      <c r="M62" s="41"/>
      <c r="N62" s="218">
        <f t="shared" si="13"/>
        <v>0</v>
      </c>
      <c r="O62" s="40"/>
      <c r="P62" s="40">
        <f t="shared" si="14"/>
        <v>0</v>
      </c>
      <c r="T62" t="s">
        <v>145</v>
      </c>
    </row>
    <row r="63" spans="1:20" ht="12.75">
      <c r="A63" s="41"/>
      <c r="B63" s="41"/>
      <c r="C63" s="41">
        <v>1</v>
      </c>
      <c r="D63" s="41" t="s">
        <v>77</v>
      </c>
      <c r="E63" s="41">
        <v>5401</v>
      </c>
      <c r="F63" s="41">
        <v>0.8</v>
      </c>
      <c r="G63" s="41">
        <v>0.31</v>
      </c>
      <c r="H63" s="41">
        <f t="shared" si="15"/>
        <v>5995.110000000001</v>
      </c>
      <c r="I63" s="216">
        <f t="shared" si="7"/>
        <v>5995</v>
      </c>
      <c r="J63" s="41"/>
      <c r="K63" s="236">
        <f t="shared" si="11"/>
        <v>0</v>
      </c>
      <c r="L63" s="105">
        <f t="shared" si="12"/>
        <v>0</v>
      </c>
      <c r="M63" s="41"/>
      <c r="N63" s="218">
        <f t="shared" si="13"/>
        <v>0</v>
      </c>
      <c r="O63" s="40"/>
      <c r="P63" s="40">
        <f t="shared" si="14"/>
        <v>0</v>
      </c>
      <c r="T63" t="s">
        <v>145</v>
      </c>
    </row>
    <row r="64" spans="1:16" ht="12.75">
      <c r="A64" s="41"/>
      <c r="B64" s="41"/>
      <c r="C64" s="41">
        <v>1</v>
      </c>
      <c r="D64" s="41" t="s">
        <v>77</v>
      </c>
      <c r="E64" s="41">
        <v>5401</v>
      </c>
      <c r="F64" s="41">
        <v>0.8</v>
      </c>
      <c r="G64" s="41">
        <v>0.31</v>
      </c>
      <c r="H64" s="41">
        <f t="shared" si="15"/>
        <v>5995.110000000001</v>
      </c>
      <c r="I64" s="216">
        <f t="shared" si="7"/>
        <v>5995</v>
      </c>
      <c r="J64" s="41"/>
      <c r="K64" s="236">
        <f t="shared" si="11"/>
        <v>0</v>
      </c>
      <c r="L64" s="105">
        <f t="shared" si="12"/>
        <v>0</v>
      </c>
      <c r="M64" s="41"/>
      <c r="N64" s="218">
        <f t="shared" si="13"/>
        <v>0</v>
      </c>
      <c r="O64" s="40"/>
      <c r="P64" s="40">
        <f t="shared" si="14"/>
        <v>0</v>
      </c>
    </row>
    <row r="65" spans="1:16" ht="12.75">
      <c r="A65" s="41"/>
      <c r="B65" s="41"/>
      <c r="C65" s="41">
        <v>1</v>
      </c>
      <c r="D65" s="41" t="s">
        <v>77</v>
      </c>
      <c r="E65" s="41">
        <v>5401</v>
      </c>
      <c r="F65" s="41">
        <v>0.8</v>
      </c>
      <c r="G65" s="41">
        <v>0.31</v>
      </c>
      <c r="H65" s="41">
        <f t="shared" si="15"/>
        <v>5995.110000000001</v>
      </c>
      <c r="I65" s="216">
        <f t="shared" si="7"/>
        <v>5995</v>
      </c>
      <c r="J65" s="41"/>
      <c r="K65" s="236">
        <f t="shared" si="11"/>
        <v>0</v>
      </c>
      <c r="L65" s="105">
        <f t="shared" si="12"/>
        <v>0</v>
      </c>
      <c r="M65" s="41"/>
      <c r="N65" s="218">
        <f t="shared" si="13"/>
        <v>0</v>
      </c>
      <c r="O65" s="40"/>
      <c r="P65" s="40">
        <f t="shared" si="14"/>
        <v>0</v>
      </c>
    </row>
    <row r="66" spans="1:16" ht="12.75">
      <c r="A66" s="41"/>
      <c r="B66" s="41"/>
      <c r="C66" s="41">
        <v>1</v>
      </c>
      <c r="D66" s="41" t="s">
        <v>77</v>
      </c>
      <c r="E66" s="41">
        <v>5401</v>
      </c>
      <c r="F66" s="41">
        <v>0.8</v>
      </c>
      <c r="G66" s="41">
        <v>0.31</v>
      </c>
      <c r="H66" s="41">
        <f t="shared" si="15"/>
        <v>5995.110000000001</v>
      </c>
      <c r="I66" s="216">
        <f t="shared" si="7"/>
        <v>5995</v>
      </c>
      <c r="J66" s="41"/>
      <c r="K66" s="236">
        <f t="shared" si="11"/>
        <v>0</v>
      </c>
      <c r="L66" s="105">
        <f t="shared" si="12"/>
        <v>0</v>
      </c>
      <c r="M66" s="41"/>
      <c r="N66" s="218">
        <f t="shared" si="13"/>
        <v>0</v>
      </c>
      <c r="O66" s="40"/>
      <c r="P66" s="40">
        <f t="shared" si="14"/>
        <v>0</v>
      </c>
    </row>
    <row r="67" spans="1:16" ht="12.75">
      <c r="A67" s="41" t="s">
        <v>74</v>
      </c>
      <c r="B67" s="214"/>
      <c r="C67" s="41">
        <v>1</v>
      </c>
      <c r="D67" s="227" t="s">
        <v>77</v>
      </c>
      <c r="E67" s="41">
        <v>5401</v>
      </c>
      <c r="F67" s="41">
        <v>0.8</v>
      </c>
      <c r="G67" s="41">
        <v>0.31</v>
      </c>
      <c r="H67" s="41">
        <f t="shared" si="15"/>
        <v>5995.110000000001</v>
      </c>
      <c r="I67" s="216">
        <f>ROUND(H67,0)</f>
        <v>5995</v>
      </c>
      <c r="J67" s="41"/>
      <c r="K67" s="236">
        <f t="shared" si="11"/>
        <v>0</v>
      </c>
      <c r="L67" s="228">
        <f t="shared" si="12"/>
        <v>0</v>
      </c>
      <c r="M67" s="41"/>
      <c r="N67" s="218">
        <f t="shared" si="13"/>
        <v>0</v>
      </c>
      <c r="O67" s="40"/>
      <c r="P67" s="40">
        <f t="shared" si="14"/>
        <v>0</v>
      </c>
    </row>
    <row r="68" spans="1:19" ht="12.75">
      <c r="A68" s="41" t="s">
        <v>74</v>
      </c>
      <c r="B68" s="41"/>
      <c r="C68" s="41">
        <v>1</v>
      </c>
      <c r="D68" s="41" t="s">
        <v>77</v>
      </c>
      <c r="E68" s="41">
        <v>5401</v>
      </c>
      <c r="F68" s="41">
        <v>0.8</v>
      </c>
      <c r="G68" s="41">
        <v>0.31</v>
      </c>
      <c r="H68" s="41">
        <f t="shared" si="6"/>
        <v>5995.110000000001</v>
      </c>
      <c r="I68" s="216">
        <f>ROUND(H68,0)</f>
        <v>5995</v>
      </c>
      <c r="J68" s="41"/>
      <c r="K68" s="236">
        <f t="shared" si="8"/>
        <v>0</v>
      </c>
      <c r="L68" s="105">
        <f t="shared" si="1"/>
        <v>0</v>
      </c>
      <c r="M68" s="41"/>
      <c r="N68" s="218">
        <f>L68*M68/100</f>
        <v>0</v>
      </c>
      <c r="O68" s="40"/>
      <c r="P68" s="40">
        <f>B68</f>
        <v>0</v>
      </c>
      <c r="S68" s="54">
        <f>L69-L67</f>
        <v>0</v>
      </c>
    </row>
    <row r="69" spans="1:17" s="93" customFormat="1" ht="22.5">
      <c r="A69" s="92" t="s">
        <v>78</v>
      </c>
      <c r="B69" s="94">
        <f>SUM(B54:B68)</f>
        <v>0</v>
      </c>
      <c r="C69" s="94"/>
      <c r="D69" s="94"/>
      <c r="E69" s="94"/>
      <c r="F69" s="94"/>
      <c r="G69" s="94"/>
      <c r="H69" s="94"/>
      <c r="I69" s="252"/>
      <c r="J69" s="94"/>
      <c r="K69" s="256"/>
      <c r="L69" s="124">
        <f>SUM(L54:L68)</f>
        <v>0</v>
      </c>
      <c r="M69" s="94"/>
      <c r="N69" s="124">
        <f>SUM(N54:N68)</f>
        <v>0</v>
      </c>
      <c r="O69" s="124"/>
      <c r="P69" s="225">
        <f>SUM(P54:P68)</f>
        <v>0</v>
      </c>
      <c r="Q69" s="120"/>
    </row>
    <row r="70" spans="1:18" ht="12.75">
      <c r="A70" s="10" t="s">
        <v>6</v>
      </c>
      <c r="B70" s="40">
        <f>B9+B11+B14+B16+B19+B22+B24+B31+B35+B38+B43+B48+B53+B69</f>
        <v>0</v>
      </c>
      <c r="C70" s="42">
        <f aca="true" t="shared" si="16" ref="C70:K70">C9+C14+C16+C19+C22+C24+C31+C35+C38+C43+C48+C53+C69</f>
        <v>0</v>
      </c>
      <c r="D70" s="42">
        <f t="shared" si="16"/>
        <v>0</v>
      </c>
      <c r="E70" s="42">
        <f t="shared" si="16"/>
        <v>0</v>
      </c>
      <c r="F70" s="42">
        <f t="shared" si="16"/>
        <v>0</v>
      </c>
      <c r="G70" s="42">
        <f t="shared" si="16"/>
        <v>0</v>
      </c>
      <c r="H70" s="42">
        <f t="shared" si="16"/>
        <v>0</v>
      </c>
      <c r="I70" s="253">
        <f t="shared" si="16"/>
        <v>0</v>
      </c>
      <c r="J70" s="42">
        <f t="shared" si="16"/>
        <v>0</v>
      </c>
      <c r="K70" s="257">
        <f t="shared" si="16"/>
        <v>0</v>
      </c>
      <c r="L70" s="42">
        <f>L9+L11+L14+L16+L19+L22+L24+L31+L35+L38+L43+L48+L53+L69</f>
        <v>0</v>
      </c>
      <c r="M70" s="42">
        <f>M9+M11+M14+M16+M19+M22+M24+M31+M35+M38+M43+M48+M53+M69</f>
        <v>0</v>
      </c>
      <c r="N70" s="42">
        <f>N9+N11+N14+N16+N19+N22+N24+N31+N35+N38+N43+N48+N53+N69</f>
        <v>0</v>
      </c>
      <c r="O70" s="42">
        <f>O9+O11+O14+O16+O19+O22+O24+O31+O35+O38+O43+O48+O53+O69</f>
        <v>0</v>
      </c>
      <c r="P70" s="42">
        <f>P9+P11+P14+P16+P19+P22+P24+P31+P35+P38+P43+P48+P53+P69</f>
        <v>1</v>
      </c>
      <c r="Q70" s="40"/>
      <c r="R70" s="42"/>
    </row>
    <row r="71" spans="10:17" ht="12.75">
      <c r="J71" t="s">
        <v>145</v>
      </c>
      <c r="L71" s="89"/>
      <c r="N71" s="7"/>
      <c r="O71" s="19"/>
      <c r="P71" s="19"/>
      <c r="Q71" s="6"/>
    </row>
    <row r="72" spans="1:14" ht="12.75">
      <c r="A72" s="1" t="s">
        <v>0</v>
      </c>
      <c r="L72" s="89"/>
      <c r="N72" t="s">
        <v>217</v>
      </c>
    </row>
    <row r="73" spans="11:15" ht="12.75">
      <c r="K73" t="s">
        <v>215</v>
      </c>
      <c r="L73" s="127">
        <f>L9+L38+L42+L53+L54+L55+L67</f>
        <v>0</v>
      </c>
      <c r="N73" s="127">
        <f>N9+N38+N42+N53+N54+N55+N67</f>
        <v>0</v>
      </c>
      <c r="O73" s="127"/>
    </row>
    <row r="74" spans="1:15" ht="12.75">
      <c r="A74" s="1" t="s">
        <v>287</v>
      </c>
      <c r="K74" t="s">
        <v>216</v>
      </c>
      <c r="L74" s="127">
        <f>L70-L73</f>
        <v>0</v>
      </c>
      <c r="N74" s="127">
        <f>N70-N73</f>
        <v>0</v>
      </c>
      <c r="O74" s="127"/>
    </row>
    <row r="76" ht="12.75">
      <c r="L76" s="89"/>
    </row>
    <row r="77" ht="12.75">
      <c r="A77" s="2"/>
    </row>
    <row r="79" spans="1:16" ht="12.75">
      <c r="A79" s="9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36"/>
      <c r="M79" s="12"/>
      <c r="N79" s="12"/>
      <c r="O79" s="14"/>
      <c r="P79" s="12"/>
    </row>
    <row r="82" ht="12.75">
      <c r="L82" s="89">
        <f>L70+УВП!L48</f>
        <v>0</v>
      </c>
    </row>
  </sheetData>
  <sheetProtection/>
  <mergeCells count="3">
    <mergeCell ref="E3:L3"/>
    <mergeCell ref="M3:P3"/>
    <mergeCell ref="E1:H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0">
      <selection activeCell="O46" sqref="O46"/>
    </sheetView>
  </sheetViews>
  <sheetFormatPr defaultColWidth="9.00390625" defaultRowHeight="12.75"/>
  <cols>
    <col min="1" max="1" width="22.625" style="1" customWidth="1"/>
    <col min="2" max="2" width="7.00390625" style="0" customWidth="1"/>
    <col min="3" max="3" width="10.625" style="0" customWidth="1"/>
    <col min="4" max="4" width="19.25390625" style="0" customWidth="1"/>
    <col min="5" max="5" width="8.00390625" style="0" customWidth="1"/>
    <col min="6" max="6" width="9.125" style="0" customWidth="1"/>
    <col min="8" max="8" width="13.00390625" style="0" customWidth="1"/>
    <col min="9" max="9" width="7.625" style="0" customWidth="1"/>
    <col min="10" max="10" width="6.25390625" style="0" customWidth="1"/>
    <col min="12" max="12" width="11.875" style="18" customWidth="1"/>
    <col min="13" max="13" width="7.25390625" style="0" customWidth="1"/>
    <col min="14" max="14" width="8.25390625" style="0" customWidth="1"/>
    <col min="15" max="15" width="5.25390625" style="0" customWidth="1"/>
    <col min="16" max="16" width="5.625" style="0" customWidth="1"/>
    <col min="17" max="17" width="10.125" style="0" customWidth="1"/>
  </cols>
  <sheetData>
    <row r="1" spans="5:12" ht="14.25">
      <c r="E1" s="343" t="s">
        <v>306</v>
      </c>
      <c r="F1" s="320"/>
      <c r="G1" s="320"/>
      <c r="H1" s="320"/>
      <c r="I1" s="320"/>
      <c r="J1" s="320"/>
      <c r="K1" s="320"/>
      <c r="L1" s="320"/>
    </row>
    <row r="2" ht="3" customHeight="1">
      <c r="E2" s="18"/>
    </row>
    <row r="3" spans="5:14" ht="12.75">
      <c r="E3" s="340" t="s">
        <v>62</v>
      </c>
      <c r="F3" s="340"/>
      <c r="G3" s="340"/>
      <c r="H3" s="340"/>
      <c r="I3" s="340"/>
      <c r="J3" s="340"/>
      <c r="K3" s="340"/>
      <c r="L3" s="340"/>
      <c r="M3" s="341" t="s">
        <v>138</v>
      </c>
      <c r="N3" s="342"/>
    </row>
    <row r="4" spans="1:18" s="18" customFormat="1" ht="84">
      <c r="A4" s="37" t="s">
        <v>63</v>
      </c>
      <c r="B4" s="37" t="s">
        <v>64</v>
      </c>
      <c r="C4" s="37" t="s">
        <v>65</v>
      </c>
      <c r="D4" s="37" t="s">
        <v>66</v>
      </c>
      <c r="E4" s="76" t="s">
        <v>15</v>
      </c>
      <c r="F4" s="76" t="s">
        <v>67</v>
      </c>
      <c r="G4" s="76" t="s">
        <v>68</v>
      </c>
      <c r="H4" s="76" t="s">
        <v>69</v>
      </c>
      <c r="I4" s="258" t="s">
        <v>70</v>
      </c>
      <c r="J4" s="76" t="s">
        <v>71</v>
      </c>
      <c r="K4" s="263" t="s">
        <v>72</v>
      </c>
      <c r="L4" s="76" t="s">
        <v>16</v>
      </c>
      <c r="M4" s="38" t="s">
        <v>103</v>
      </c>
      <c r="N4" s="38" t="s">
        <v>26</v>
      </c>
      <c r="O4" s="38" t="s">
        <v>104</v>
      </c>
      <c r="Q4" s="18" t="s">
        <v>221</v>
      </c>
      <c r="R4" s="18" t="s">
        <v>191</v>
      </c>
    </row>
    <row r="5" spans="1:15" ht="12.75">
      <c r="A5" s="35"/>
      <c r="B5" s="35"/>
      <c r="C5" s="35"/>
      <c r="D5" s="35"/>
      <c r="E5" s="35"/>
      <c r="F5" s="35"/>
      <c r="G5" s="35"/>
      <c r="H5" s="35"/>
      <c r="I5" s="259"/>
      <c r="J5" s="35"/>
      <c r="K5" s="240"/>
      <c r="L5" s="36"/>
      <c r="M5" s="35"/>
      <c r="N5" s="35"/>
      <c r="O5" s="35"/>
    </row>
    <row r="6" spans="1:15" ht="12.75">
      <c r="A6" s="36" t="s">
        <v>79</v>
      </c>
      <c r="B6" s="44"/>
      <c r="C6" s="44"/>
      <c r="D6" s="44"/>
      <c r="E6" s="44"/>
      <c r="F6" s="44"/>
      <c r="G6" s="44"/>
      <c r="H6" s="44"/>
      <c r="I6" s="260"/>
      <c r="J6" s="44"/>
      <c r="K6" s="88"/>
      <c r="L6" s="101"/>
      <c r="M6" s="44"/>
      <c r="N6" s="44"/>
      <c r="O6" s="44"/>
    </row>
    <row r="7" spans="1:17" ht="12.75">
      <c r="A7" s="238"/>
      <c r="B7" s="88"/>
      <c r="C7" s="88">
        <v>1</v>
      </c>
      <c r="D7" s="88" t="s">
        <v>289</v>
      </c>
      <c r="E7" s="44">
        <v>5401</v>
      </c>
      <c r="F7" s="44">
        <v>1.12</v>
      </c>
      <c r="G7" s="44">
        <v>0.47</v>
      </c>
      <c r="H7" s="44">
        <f>E7*(F7+G7)</f>
        <v>8587.59</v>
      </c>
      <c r="I7" s="261">
        <f>ROUND(H7,0)</f>
        <v>8588</v>
      </c>
      <c r="J7" s="44"/>
      <c r="K7" s="88">
        <f>ROUND(I7*J7,2)</f>
        <v>0</v>
      </c>
      <c r="L7" s="90">
        <f>ROUND(B7*K7,2)</f>
        <v>0</v>
      </c>
      <c r="M7" s="44"/>
      <c r="N7" s="45"/>
      <c r="O7" s="44">
        <f>B7</f>
        <v>0</v>
      </c>
      <c r="P7" s="20" t="s">
        <v>210</v>
      </c>
      <c r="Q7" s="20"/>
    </row>
    <row r="8" spans="1:17" s="18" customFormat="1" ht="12.75">
      <c r="A8" s="100" t="s">
        <v>83</v>
      </c>
      <c r="B8" s="59">
        <f>SUM(B7)</f>
        <v>0</v>
      </c>
      <c r="C8" s="59"/>
      <c r="D8" s="59"/>
      <c r="E8" s="61"/>
      <c r="F8" s="59"/>
      <c r="G8" s="59"/>
      <c r="H8" s="59"/>
      <c r="I8" s="59"/>
      <c r="J8" s="59"/>
      <c r="K8" s="59"/>
      <c r="L8" s="60">
        <f>SUM(L7)</f>
        <v>0</v>
      </c>
      <c r="M8" s="60"/>
      <c r="N8" s="60"/>
      <c r="O8" s="61">
        <f>SUM(O7)</f>
        <v>0</v>
      </c>
      <c r="P8" s="20"/>
      <c r="Q8" s="20"/>
    </row>
    <row r="9" spans="1:17" ht="12.75">
      <c r="A9" s="238"/>
      <c r="B9" s="88"/>
      <c r="C9" s="88">
        <v>1</v>
      </c>
      <c r="D9" s="88" t="s">
        <v>158</v>
      </c>
      <c r="E9" s="44">
        <v>5401</v>
      </c>
      <c r="F9" s="44">
        <v>1.12</v>
      </c>
      <c r="G9" s="44">
        <v>0.31</v>
      </c>
      <c r="H9" s="44">
        <f>E9*(F9+G9)</f>
        <v>7723.430000000001</v>
      </c>
      <c r="I9" s="261">
        <f>ROUND(H9,0)</f>
        <v>7723</v>
      </c>
      <c r="J9" s="44"/>
      <c r="K9" s="88">
        <f>ROUND(I9*J9,2)</f>
        <v>0</v>
      </c>
      <c r="L9" s="90">
        <f>ROUND(B9*K9,2)</f>
        <v>0</v>
      </c>
      <c r="M9" s="44"/>
      <c r="N9" s="45"/>
      <c r="O9" s="44">
        <f>B9</f>
        <v>0</v>
      </c>
      <c r="P9" s="20" t="s">
        <v>210</v>
      </c>
      <c r="Q9" s="20"/>
    </row>
    <row r="10" spans="1:17" s="18" customFormat="1" ht="12.75">
      <c r="A10" s="100" t="s">
        <v>290</v>
      </c>
      <c r="B10" s="59">
        <f>SUM(B9)</f>
        <v>0</v>
      </c>
      <c r="C10" s="59"/>
      <c r="D10" s="59"/>
      <c r="E10" s="61"/>
      <c r="F10" s="59"/>
      <c r="G10" s="59"/>
      <c r="H10" s="59"/>
      <c r="I10" s="59"/>
      <c r="J10" s="59"/>
      <c r="K10" s="59"/>
      <c r="L10" s="60">
        <f>SUM(L9)</f>
        <v>0</v>
      </c>
      <c r="M10" s="60"/>
      <c r="N10" s="60"/>
      <c r="O10" s="61">
        <f>SUM(O9)</f>
        <v>0</v>
      </c>
      <c r="P10" s="20"/>
      <c r="Q10" s="20"/>
    </row>
    <row r="11" spans="1:17" s="18" customFormat="1" ht="12.75">
      <c r="A11" s="77"/>
      <c r="B11" s="88">
        <v>1</v>
      </c>
      <c r="C11" s="88">
        <v>2</v>
      </c>
      <c r="D11" s="88" t="s">
        <v>162</v>
      </c>
      <c r="E11" s="44">
        <v>5401</v>
      </c>
      <c r="F11" s="44">
        <v>0.96</v>
      </c>
      <c r="G11" s="44">
        <v>0.63</v>
      </c>
      <c r="H11" s="44">
        <f>E11*(F11+G11)</f>
        <v>8587.589999999998</v>
      </c>
      <c r="I11" s="261">
        <f>ROUND(H11,0)</f>
        <v>8588</v>
      </c>
      <c r="J11" s="44"/>
      <c r="K11" s="88">
        <f>ROUND(I11*J11,2)</f>
        <v>0</v>
      </c>
      <c r="L11" s="90">
        <f>ROUND(B11*K11,2)</f>
        <v>0</v>
      </c>
      <c r="M11" s="84"/>
      <c r="N11" s="46"/>
      <c r="O11" s="44">
        <f>B11</f>
        <v>1</v>
      </c>
      <c r="P11" s="20"/>
      <c r="Q11" s="20"/>
    </row>
    <row r="12" spans="1:17" ht="12.75">
      <c r="A12" s="77"/>
      <c r="B12" s="44">
        <v>1</v>
      </c>
      <c r="C12" s="44">
        <v>2</v>
      </c>
      <c r="D12" s="44" t="s">
        <v>120</v>
      </c>
      <c r="E12" s="44">
        <v>5401</v>
      </c>
      <c r="F12" s="44">
        <v>0.96</v>
      </c>
      <c r="G12" s="44">
        <v>0.63</v>
      </c>
      <c r="H12" s="44">
        <f>E12*(F12+G12)</f>
        <v>8587.589999999998</v>
      </c>
      <c r="I12" s="261">
        <f>ROUND(H12,0)</f>
        <v>8588</v>
      </c>
      <c r="J12" s="44"/>
      <c r="K12" s="88">
        <f>ROUND(I12*J12,2)</f>
        <v>0</v>
      </c>
      <c r="L12" s="45">
        <f>ROUND(B12*K12,2)</f>
        <v>0</v>
      </c>
      <c r="M12" s="44"/>
      <c r="N12" s="45">
        <f>K12*O12*M12/100</f>
        <v>0</v>
      </c>
      <c r="O12" s="44">
        <f>B12</f>
        <v>1</v>
      </c>
      <c r="P12" s="20"/>
      <c r="Q12" s="20"/>
    </row>
    <row r="13" spans="1:17" s="18" customFormat="1" ht="12.75">
      <c r="A13" s="100" t="s">
        <v>163</v>
      </c>
      <c r="B13" s="59">
        <f>B11+B12</f>
        <v>2</v>
      </c>
      <c r="C13" s="59"/>
      <c r="D13" s="59"/>
      <c r="E13" s="61"/>
      <c r="F13" s="59"/>
      <c r="G13" s="59"/>
      <c r="H13" s="61"/>
      <c r="I13" s="61"/>
      <c r="J13" s="61"/>
      <c r="K13" s="61"/>
      <c r="L13" s="60">
        <f>SUM(L11:L12)</f>
        <v>0</v>
      </c>
      <c r="M13" s="59"/>
      <c r="N13" s="60">
        <f>SUM(N11:N12)</f>
        <v>0</v>
      </c>
      <c r="O13" s="59">
        <f>SUM(O11:O12)</f>
        <v>2</v>
      </c>
      <c r="P13" s="20"/>
      <c r="Q13" s="20"/>
    </row>
    <row r="14" spans="1:15" s="18" customFormat="1" ht="12.75">
      <c r="A14" s="77"/>
      <c r="B14" s="241"/>
      <c r="C14" s="43"/>
      <c r="D14" s="88" t="s">
        <v>4</v>
      </c>
      <c r="E14" s="44">
        <v>5401</v>
      </c>
      <c r="F14" s="44">
        <v>0.8</v>
      </c>
      <c r="G14" s="44">
        <v>0.63</v>
      </c>
      <c r="H14" s="44">
        <f>E14*(F14+G14)</f>
        <v>7723.430000000001</v>
      </c>
      <c r="I14" s="261">
        <f>ROUND(H14,0)</f>
        <v>7723</v>
      </c>
      <c r="J14" s="44"/>
      <c r="K14" s="88">
        <f>ROUND(I14*J14,2)</f>
        <v>0</v>
      </c>
      <c r="L14" s="132">
        <f>ROUND(B14*K14,2)</f>
        <v>0</v>
      </c>
      <c r="M14" s="44"/>
      <c r="N14" s="45">
        <f>L14*M14/100</f>
        <v>0</v>
      </c>
      <c r="O14" s="44">
        <f>B14</f>
        <v>0</v>
      </c>
    </row>
    <row r="15" spans="1:15" ht="12.75">
      <c r="A15" s="77"/>
      <c r="B15" s="241"/>
      <c r="C15" s="44">
        <v>2</v>
      </c>
      <c r="D15" s="88" t="s">
        <v>4</v>
      </c>
      <c r="E15" s="44">
        <v>5401</v>
      </c>
      <c r="F15" s="44">
        <v>0.8</v>
      </c>
      <c r="G15" s="44">
        <v>0.63</v>
      </c>
      <c r="H15" s="44">
        <f>E15*(F15+G15)</f>
        <v>7723.430000000001</v>
      </c>
      <c r="I15" s="261">
        <f>ROUND(H15,0)</f>
        <v>7723</v>
      </c>
      <c r="J15" s="44"/>
      <c r="K15" s="88">
        <f>ROUND(I15*J15,2)</f>
        <v>0</v>
      </c>
      <c r="L15" s="132">
        <f>ROUND(B15*K15,2)</f>
        <v>0</v>
      </c>
      <c r="M15" s="44"/>
      <c r="N15" s="45">
        <f>L15*M15/100</f>
        <v>0</v>
      </c>
      <c r="O15" s="44">
        <f>B15</f>
        <v>0</v>
      </c>
    </row>
    <row r="16" spans="1:15" s="18" customFormat="1" ht="12.75">
      <c r="A16" s="100" t="s">
        <v>82</v>
      </c>
      <c r="B16" s="59">
        <f>SUM(B14:B15)</f>
        <v>0</v>
      </c>
      <c r="C16" s="59"/>
      <c r="D16" s="59"/>
      <c r="E16" s="61"/>
      <c r="F16" s="59"/>
      <c r="G16" s="59"/>
      <c r="H16" s="61"/>
      <c r="I16" s="61"/>
      <c r="J16" s="61"/>
      <c r="K16" s="61"/>
      <c r="L16" s="59">
        <f>SUM(L14:L15)</f>
        <v>0</v>
      </c>
      <c r="M16" s="59"/>
      <c r="N16" s="60">
        <f>SUM(N14:N15)</f>
        <v>0</v>
      </c>
      <c r="O16" s="59">
        <f>SUM(O14:O15)</f>
        <v>0</v>
      </c>
    </row>
    <row r="17" spans="1:15" ht="12.75">
      <c r="A17" s="77"/>
      <c r="B17" s="77"/>
      <c r="C17" s="44">
        <v>2</v>
      </c>
      <c r="D17" s="88" t="s">
        <v>85</v>
      </c>
      <c r="E17" s="44">
        <v>5401</v>
      </c>
      <c r="F17" s="44">
        <v>0.96</v>
      </c>
      <c r="G17" s="44">
        <v>0.47</v>
      </c>
      <c r="H17" s="44">
        <f>E17*(F17+G17)</f>
        <v>7723.429999999999</v>
      </c>
      <c r="I17" s="261">
        <f>ROUND(H17,0)</f>
        <v>7723</v>
      </c>
      <c r="J17" s="44"/>
      <c r="K17" s="88">
        <f>ROUND(I17*J17,2)</f>
        <v>0</v>
      </c>
      <c r="L17" s="132">
        <f>ROUND(B17*K17,2)</f>
        <v>0</v>
      </c>
      <c r="M17" s="44"/>
      <c r="N17" s="45"/>
      <c r="O17" s="44">
        <f>B17</f>
        <v>0</v>
      </c>
    </row>
    <row r="18" spans="1:15" ht="12.75">
      <c r="A18" s="77"/>
      <c r="B18" s="77"/>
      <c r="C18" s="44">
        <v>2</v>
      </c>
      <c r="D18" s="88" t="s">
        <v>85</v>
      </c>
      <c r="E18" s="44">
        <v>5401</v>
      </c>
      <c r="F18" s="44">
        <v>0.96</v>
      </c>
      <c r="G18" s="44">
        <v>0.47</v>
      </c>
      <c r="H18" s="44">
        <f>E18*(F18+G18)</f>
        <v>7723.429999999999</v>
      </c>
      <c r="I18" s="261">
        <f>ROUND(H18,0)</f>
        <v>7723</v>
      </c>
      <c r="J18" s="44"/>
      <c r="K18" s="88">
        <f>ROUND(I18*J18,2)</f>
        <v>0</v>
      </c>
      <c r="L18" s="132">
        <f>ROUND(B18*K18,2)</f>
        <v>0</v>
      </c>
      <c r="M18" s="44"/>
      <c r="N18" s="45"/>
      <c r="O18" s="44">
        <f>B18</f>
        <v>0</v>
      </c>
    </row>
    <row r="19" spans="1:19" s="18" customFormat="1" ht="12.75">
      <c r="A19" s="100" t="s">
        <v>86</v>
      </c>
      <c r="B19" s="59">
        <f>SUM(B17:B18)</f>
        <v>0</v>
      </c>
      <c r="C19" s="59"/>
      <c r="D19" s="59"/>
      <c r="E19" s="61"/>
      <c r="F19" s="59"/>
      <c r="G19" s="59"/>
      <c r="H19" s="61"/>
      <c r="I19" s="61"/>
      <c r="J19" s="61"/>
      <c r="K19" s="61"/>
      <c r="L19" s="60">
        <f>SUM(L17:L18)</f>
        <v>0</v>
      </c>
      <c r="M19" s="59"/>
      <c r="N19" s="60"/>
      <c r="O19" s="59"/>
      <c r="S19" s="69"/>
    </row>
    <row r="20" spans="1:15" ht="12.75">
      <c r="A20" s="77"/>
      <c r="B20" s="44"/>
      <c r="C20" s="44">
        <v>2</v>
      </c>
      <c r="D20" s="44" t="s">
        <v>121</v>
      </c>
      <c r="E20" s="44">
        <v>5401</v>
      </c>
      <c r="F20" s="44">
        <v>0.96</v>
      </c>
      <c r="G20" s="44">
        <v>0.79</v>
      </c>
      <c r="H20" s="44">
        <f>E20*(F20+G20)</f>
        <v>9451.75</v>
      </c>
      <c r="I20" s="261">
        <f>ROUND(H20,0)</f>
        <v>9452</v>
      </c>
      <c r="J20" s="44"/>
      <c r="K20" s="88">
        <f>ROUND(I20*J20,2)</f>
        <v>0</v>
      </c>
      <c r="L20" s="45">
        <f>ROUND(B20*K20,2)</f>
        <v>0</v>
      </c>
      <c r="M20" s="44"/>
      <c r="N20" s="45"/>
      <c r="O20" s="44">
        <f>B20</f>
        <v>0</v>
      </c>
    </row>
    <row r="21" spans="1:15" s="18" customFormat="1" ht="12.75">
      <c r="A21" s="100" t="s">
        <v>122</v>
      </c>
      <c r="B21" s="59">
        <f>SUM(B20:B20)</f>
        <v>0</v>
      </c>
      <c r="C21" s="59"/>
      <c r="D21" s="59"/>
      <c r="E21" s="61"/>
      <c r="F21" s="59"/>
      <c r="G21" s="59"/>
      <c r="H21" s="59"/>
      <c r="I21" s="59"/>
      <c r="J21" s="59"/>
      <c r="K21" s="59"/>
      <c r="L21" s="60">
        <f>SUM(L20:L20)</f>
        <v>0</v>
      </c>
      <c r="M21" s="59">
        <f>SUM(M20:M20)</f>
        <v>0</v>
      </c>
      <c r="N21" s="59">
        <f>SUM(N20:N20)</f>
        <v>0</v>
      </c>
      <c r="O21" s="59"/>
    </row>
    <row r="22" spans="1:15" ht="12.75">
      <c r="A22" s="77"/>
      <c r="B22" s="77"/>
      <c r="C22" s="44">
        <v>3</v>
      </c>
      <c r="D22" s="44" t="s">
        <v>81</v>
      </c>
      <c r="E22" s="44">
        <v>5401</v>
      </c>
      <c r="F22" s="44">
        <v>1.12</v>
      </c>
      <c r="G22" s="44">
        <v>0.63</v>
      </c>
      <c r="H22" s="44">
        <f>E22*(F22+G22)</f>
        <v>9451.75</v>
      </c>
      <c r="I22" s="261">
        <f>ROUND(H22,0)</f>
        <v>9452</v>
      </c>
      <c r="J22" s="44"/>
      <c r="K22" s="88">
        <f>ROUND(I22*J22,2)</f>
        <v>0</v>
      </c>
      <c r="L22" s="45">
        <f>ROUND(B22*K22,2)</f>
        <v>0</v>
      </c>
      <c r="M22" s="44"/>
      <c r="N22" s="45">
        <f>ROUND(K22*O22*M22/100,2)</f>
        <v>0</v>
      </c>
      <c r="O22" s="44">
        <f>B22</f>
        <v>0</v>
      </c>
    </row>
    <row r="23" spans="1:15" ht="12.75">
      <c r="A23" s="77"/>
      <c r="B23" s="77"/>
      <c r="C23" s="44">
        <v>3</v>
      </c>
      <c r="D23" s="44" t="s">
        <v>81</v>
      </c>
      <c r="E23" s="44">
        <v>5401</v>
      </c>
      <c r="F23" s="44">
        <v>1.12</v>
      </c>
      <c r="G23" s="44">
        <v>0.63</v>
      </c>
      <c r="H23" s="44">
        <f>E23*(F23+G23)</f>
        <v>9451.75</v>
      </c>
      <c r="I23" s="261">
        <f>ROUND(H23,0)</f>
        <v>9452</v>
      </c>
      <c r="J23" s="44"/>
      <c r="K23" s="88">
        <f>ROUND(I23*J23,2)</f>
        <v>0</v>
      </c>
      <c r="L23" s="45">
        <f>ROUND(B23*K23,2)</f>
        <v>0</v>
      </c>
      <c r="M23" s="44"/>
      <c r="N23" s="45">
        <f>ROUND(K23*O23*M23/100,2)</f>
        <v>0</v>
      </c>
      <c r="O23" s="44">
        <f>B23</f>
        <v>0</v>
      </c>
    </row>
    <row r="24" spans="1:15" ht="12.75">
      <c r="A24" s="77"/>
      <c r="B24" s="44"/>
      <c r="C24" s="44">
        <v>3</v>
      </c>
      <c r="D24" s="88" t="s">
        <v>81</v>
      </c>
      <c r="E24" s="44">
        <v>5401</v>
      </c>
      <c r="F24" s="44">
        <v>1.12</v>
      </c>
      <c r="G24" s="44">
        <v>0.63</v>
      </c>
      <c r="H24" s="44">
        <f>E24*(F24+G24)</f>
        <v>9451.75</v>
      </c>
      <c r="I24" s="261">
        <f>ROUND(H24,0)</f>
        <v>9452</v>
      </c>
      <c r="J24" s="44"/>
      <c r="K24" s="88">
        <f>ROUND(I24*J24,2)</f>
        <v>0</v>
      </c>
      <c r="L24" s="132">
        <f>ROUND(B24*K24,2)</f>
        <v>0</v>
      </c>
      <c r="M24" s="44"/>
      <c r="N24" s="45"/>
      <c r="O24" s="44"/>
    </row>
    <row r="25" spans="1:15" s="18" customFormat="1" ht="12.75">
      <c r="A25" s="100" t="s">
        <v>80</v>
      </c>
      <c r="B25" s="59">
        <f>SUM(B22:B24)</f>
        <v>0</v>
      </c>
      <c r="C25" s="59"/>
      <c r="D25" s="59"/>
      <c r="E25" s="61"/>
      <c r="F25" s="59"/>
      <c r="G25" s="59"/>
      <c r="H25" s="59"/>
      <c r="I25" s="59"/>
      <c r="J25" s="59"/>
      <c r="K25" s="59"/>
      <c r="L25" s="59">
        <f>SUM(L22:L24)</f>
        <v>0</v>
      </c>
      <c r="M25" s="59"/>
      <c r="N25" s="60">
        <f>SUM(N22:N24)</f>
        <v>0</v>
      </c>
      <c r="O25" s="59">
        <f>SUM(O22:O24)</f>
        <v>0</v>
      </c>
    </row>
    <row r="26" spans="1:15" ht="12.75">
      <c r="A26" s="77"/>
      <c r="B26" s="44"/>
      <c r="C26" s="44">
        <v>2</v>
      </c>
      <c r="D26" s="44" t="s">
        <v>89</v>
      </c>
      <c r="E26" s="44">
        <v>5401</v>
      </c>
      <c r="F26" s="44">
        <v>0.96</v>
      </c>
      <c r="G26" s="44">
        <v>0.51</v>
      </c>
      <c r="H26" s="44">
        <f>E26*(F26+G26)</f>
        <v>7939.47</v>
      </c>
      <c r="I26" s="261">
        <f aca="true" t="shared" si="0" ref="I26:I36">ROUND(H26,0)</f>
        <v>7939</v>
      </c>
      <c r="J26" s="44"/>
      <c r="K26" s="90">
        <f aca="true" t="shared" si="1" ref="K26:K46">ROUND(I26*J26,2)</f>
        <v>0</v>
      </c>
      <c r="L26" s="45">
        <f aca="true" t="shared" si="2" ref="L26:L36">ROUND(B26*K26,2)</f>
        <v>0</v>
      </c>
      <c r="M26" s="44"/>
      <c r="N26" s="45"/>
      <c r="O26" s="44">
        <f>B26</f>
        <v>0</v>
      </c>
    </row>
    <row r="27" spans="1:15" ht="12.75">
      <c r="A27" s="77"/>
      <c r="B27" s="44"/>
      <c r="C27" s="44">
        <v>2</v>
      </c>
      <c r="D27" s="44" t="s">
        <v>89</v>
      </c>
      <c r="E27" s="44">
        <v>5401</v>
      </c>
      <c r="F27" s="44">
        <v>0.96</v>
      </c>
      <c r="G27" s="44">
        <v>0.51</v>
      </c>
      <c r="H27" s="44">
        <f aca="true" t="shared" si="3" ref="H27:H36">E27*(F27+G27)</f>
        <v>7939.47</v>
      </c>
      <c r="I27" s="261">
        <f t="shared" si="0"/>
        <v>7939</v>
      </c>
      <c r="J27" s="44"/>
      <c r="K27" s="90">
        <f t="shared" si="1"/>
        <v>0</v>
      </c>
      <c r="L27" s="45">
        <f t="shared" si="2"/>
        <v>0</v>
      </c>
      <c r="M27" s="44"/>
      <c r="N27" s="45"/>
      <c r="O27" s="44">
        <f aca="true" t="shared" si="4" ref="O27:O36">B27</f>
        <v>0</v>
      </c>
    </row>
    <row r="28" spans="1:15" ht="12.75">
      <c r="A28" s="77"/>
      <c r="B28" s="44"/>
      <c r="C28" s="44">
        <v>2</v>
      </c>
      <c r="D28" s="44" t="s">
        <v>89</v>
      </c>
      <c r="E28" s="44">
        <v>5401</v>
      </c>
      <c r="F28" s="44">
        <v>0.96</v>
      </c>
      <c r="G28" s="44">
        <v>0.51</v>
      </c>
      <c r="H28" s="44">
        <f t="shared" si="3"/>
        <v>7939.47</v>
      </c>
      <c r="I28" s="261">
        <f t="shared" si="0"/>
        <v>7939</v>
      </c>
      <c r="J28" s="44"/>
      <c r="K28" s="90">
        <f t="shared" si="1"/>
        <v>0</v>
      </c>
      <c r="L28" s="45">
        <f t="shared" si="2"/>
        <v>0</v>
      </c>
      <c r="M28" s="44"/>
      <c r="N28" s="45"/>
      <c r="O28" s="44">
        <f t="shared" si="4"/>
        <v>0</v>
      </c>
    </row>
    <row r="29" spans="1:15" ht="12.75">
      <c r="A29" s="77"/>
      <c r="B29" s="44"/>
      <c r="C29" s="44">
        <v>2</v>
      </c>
      <c r="D29" s="44" t="s">
        <v>89</v>
      </c>
      <c r="E29" s="44">
        <v>5401</v>
      </c>
      <c r="F29" s="44">
        <v>0.96</v>
      </c>
      <c r="G29" s="44">
        <v>0.51</v>
      </c>
      <c r="H29" s="44">
        <f>E29*(F29+G29)</f>
        <v>7939.47</v>
      </c>
      <c r="I29" s="261">
        <f t="shared" si="0"/>
        <v>7939</v>
      </c>
      <c r="J29" s="44"/>
      <c r="K29" s="90">
        <f>ROUND(I29*J29,2)</f>
        <v>0</v>
      </c>
      <c r="L29" s="45">
        <f>ROUND(B29*K29,2)</f>
        <v>0</v>
      </c>
      <c r="M29" s="44"/>
      <c r="N29" s="45"/>
      <c r="O29" s="44">
        <f>B29</f>
        <v>0</v>
      </c>
    </row>
    <row r="30" spans="1:15" ht="12.75">
      <c r="A30" s="77"/>
      <c r="B30" s="44"/>
      <c r="C30" s="44">
        <v>2</v>
      </c>
      <c r="D30" s="44" t="s">
        <v>89</v>
      </c>
      <c r="E30" s="44">
        <v>5401</v>
      </c>
      <c r="F30" s="44">
        <v>0.96</v>
      </c>
      <c r="G30" s="44">
        <v>0.51</v>
      </c>
      <c r="H30" s="44">
        <f t="shared" si="3"/>
        <v>7939.47</v>
      </c>
      <c r="I30" s="261">
        <f t="shared" si="0"/>
        <v>7939</v>
      </c>
      <c r="J30" s="44"/>
      <c r="K30" s="90">
        <f t="shared" si="1"/>
        <v>0</v>
      </c>
      <c r="L30" s="45">
        <f t="shared" si="2"/>
        <v>0</v>
      </c>
      <c r="M30" s="44"/>
      <c r="N30" s="45"/>
      <c r="O30" s="44">
        <f t="shared" si="4"/>
        <v>0</v>
      </c>
    </row>
    <row r="31" spans="1:15" ht="12" customHeight="1" hidden="1">
      <c r="A31" s="77"/>
      <c r="B31" s="44"/>
      <c r="C31" s="44">
        <v>2</v>
      </c>
      <c r="D31" s="44" t="s">
        <v>89</v>
      </c>
      <c r="E31" s="44">
        <v>5401</v>
      </c>
      <c r="F31" s="44">
        <v>0.96</v>
      </c>
      <c r="G31" s="44">
        <v>0.51</v>
      </c>
      <c r="H31" s="44">
        <f t="shared" si="3"/>
        <v>7939.47</v>
      </c>
      <c r="I31" s="261">
        <f t="shared" si="0"/>
        <v>7939</v>
      </c>
      <c r="J31" s="44"/>
      <c r="K31" s="90">
        <f t="shared" si="1"/>
        <v>0</v>
      </c>
      <c r="L31" s="45">
        <f t="shared" si="2"/>
        <v>0</v>
      </c>
      <c r="M31" s="44"/>
      <c r="N31" s="45"/>
      <c r="O31" s="44">
        <f t="shared" si="4"/>
        <v>0</v>
      </c>
    </row>
    <row r="32" spans="1:15" ht="12.75" hidden="1">
      <c r="A32" s="77"/>
      <c r="B32" s="44"/>
      <c r="C32" s="44">
        <v>2</v>
      </c>
      <c r="D32" s="44" t="s">
        <v>89</v>
      </c>
      <c r="E32" s="44">
        <v>5401</v>
      </c>
      <c r="F32" s="44">
        <v>0.96</v>
      </c>
      <c r="G32" s="44">
        <v>0.51</v>
      </c>
      <c r="H32" s="44">
        <f t="shared" si="3"/>
        <v>7939.47</v>
      </c>
      <c r="I32" s="261">
        <f t="shared" si="0"/>
        <v>7939</v>
      </c>
      <c r="J32" s="44"/>
      <c r="K32" s="90">
        <f t="shared" si="1"/>
        <v>0</v>
      </c>
      <c r="L32" s="45">
        <f t="shared" si="2"/>
        <v>0</v>
      </c>
      <c r="M32" s="44"/>
      <c r="N32" s="45"/>
      <c r="O32" s="44">
        <f t="shared" si="4"/>
        <v>0</v>
      </c>
    </row>
    <row r="33" spans="1:15" ht="12.75">
      <c r="A33" s="77"/>
      <c r="B33" s="44"/>
      <c r="C33" s="44">
        <v>2</v>
      </c>
      <c r="D33" s="44" t="s">
        <v>89</v>
      </c>
      <c r="E33" s="44">
        <v>5401</v>
      </c>
      <c r="F33" s="44">
        <v>0.96</v>
      </c>
      <c r="G33" s="44">
        <v>0.51</v>
      </c>
      <c r="H33" s="44">
        <f>E33*(F33+G33)</f>
        <v>7939.47</v>
      </c>
      <c r="I33" s="261">
        <f t="shared" si="0"/>
        <v>7939</v>
      </c>
      <c r="J33" s="44"/>
      <c r="K33" s="90">
        <f>ROUND(I33*J33,2)</f>
        <v>0</v>
      </c>
      <c r="L33" s="45">
        <f>ROUND(B33*K33,2)</f>
        <v>0</v>
      </c>
      <c r="M33" s="44"/>
      <c r="N33" s="45"/>
      <c r="O33" s="44">
        <f>B33</f>
        <v>0</v>
      </c>
    </row>
    <row r="34" spans="1:15" ht="12.75" hidden="1">
      <c r="A34" s="77"/>
      <c r="B34" s="44"/>
      <c r="C34" s="44">
        <v>2</v>
      </c>
      <c r="D34" s="44" t="s">
        <v>89</v>
      </c>
      <c r="E34" s="44">
        <v>5401</v>
      </c>
      <c r="F34" s="44">
        <v>0.96</v>
      </c>
      <c r="G34" s="44">
        <v>0.51</v>
      </c>
      <c r="H34" s="44">
        <f>E34*(F34+G34)</f>
        <v>7939.47</v>
      </c>
      <c r="I34" s="261">
        <f t="shared" si="0"/>
        <v>7939</v>
      </c>
      <c r="J34" s="44"/>
      <c r="K34" s="90">
        <f t="shared" si="1"/>
        <v>0</v>
      </c>
      <c r="L34" s="45">
        <f t="shared" si="2"/>
        <v>0</v>
      </c>
      <c r="M34" s="44"/>
      <c r="N34" s="45"/>
      <c r="O34" s="44">
        <f t="shared" si="4"/>
        <v>0</v>
      </c>
    </row>
    <row r="35" spans="1:15" ht="12.75">
      <c r="A35" s="77"/>
      <c r="B35" s="44"/>
      <c r="C35" s="44">
        <v>2</v>
      </c>
      <c r="D35" s="44" t="s">
        <v>89</v>
      </c>
      <c r="E35" s="44">
        <v>5401</v>
      </c>
      <c r="F35" s="44">
        <v>0.96</v>
      </c>
      <c r="G35" s="44">
        <v>0.51</v>
      </c>
      <c r="H35" s="44">
        <f t="shared" si="3"/>
        <v>7939.47</v>
      </c>
      <c r="I35" s="261">
        <f t="shared" si="0"/>
        <v>7939</v>
      </c>
      <c r="J35" s="44"/>
      <c r="K35" s="90">
        <f t="shared" si="1"/>
        <v>0</v>
      </c>
      <c r="L35" s="45">
        <f t="shared" si="2"/>
        <v>0</v>
      </c>
      <c r="M35" s="44"/>
      <c r="N35" s="45"/>
      <c r="O35" s="44">
        <f t="shared" si="4"/>
        <v>0</v>
      </c>
    </row>
    <row r="36" spans="1:18" ht="12.75">
      <c r="A36" s="238"/>
      <c r="B36" s="44"/>
      <c r="C36" s="44">
        <v>2</v>
      </c>
      <c r="D36" s="44" t="s">
        <v>89</v>
      </c>
      <c r="E36" s="44">
        <v>5401</v>
      </c>
      <c r="F36" s="44">
        <v>0.96</v>
      </c>
      <c r="G36" s="44">
        <v>0.51</v>
      </c>
      <c r="H36" s="44">
        <f t="shared" si="3"/>
        <v>7939.47</v>
      </c>
      <c r="I36" s="261">
        <f t="shared" si="0"/>
        <v>7939</v>
      </c>
      <c r="J36" s="44"/>
      <c r="K36" s="90">
        <f t="shared" si="1"/>
        <v>0</v>
      </c>
      <c r="L36" s="45">
        <f t="shared" si="2"/>
        <v>0</v>
      </c>
      <c r="M36" s="44"/>
      <c r="N36" s="45"/>
      <c r="O36" s="44">
        <f t="shared" si="4"/>
        <v>0</v>
      </c>
      <c r="R36" s="54"/>
    </row>
    <row r="37" spans="1:15" ht="12.75">
      <c r="A37" s="100" t="s">
        <v>90</v>
      </c>
      <c r="B37" s="60">
        <f>SUM(B26:B36)</f>
        <v>0</v>
      </c>
      <c r="C37" s="59"/>
      <c r="D37" s="59"/>
      <c r="E37" s="61"/>
      <c r="F37" s="59"/>
      <c r="G37" s="61"/>
      <c r="H37" s="59"/>
      <c r="I37" s="59"/>
      <c r="J37" s="59"/>
      <c r="K37" s="59"/>
      <c r="L37" s="60">
        <f>SUM(L26:L36)</f>
        <v>0</v>
      </c>
      <c r="M37" s="68"/>
      <c r="N37" s="68"/>
      <c r="O37" s="59">
        <f>SUM(O26:O36)</f>
        <v>0</v>
      </c>
    </row>
    <row r="38" spans="1:17" s="18" customFormat="1" ht="12.75">
      <c r="A38" s="77"/>
      <c r="B38" s="44"/>
      <c r="C38" s="44">
        <v>1</v>
      </c>
      <c r="D38" s="44" t="s">
        <v>109</v>
      </c>
      <c r="E38" s="44">
        <v>5401</v>
      </c>
      <c r="F38" s="44">
        <v>0.96</v>
      </c>
      <c r="G38" s="44">
        <v>0.71</v>
      </c>
      <c r="H38" s="44">
        <f>E38*(F38+G38)</f>
        <v>9019.67</v>
      </c>
      <c r="I38" s="261">
        <f>ROUND(H38,0)</f>
        <v>9020</v>
      </c>
      <c r="J38" s="44"/>
      <c r="K38" s="90">
        <f t="shared" si="1"/>
        <v>0</v>
      </c>
      <c r="L38" s="45">
        <f>ROUND(B38*K38,2)</f>
        <v>0</v>
      </c>
      <c r="M38" s="44"/>
      <c r="N38" s="45">
        <f>ROUND(K38*O38*M38/100,2)</f>
        <v>0</v>
      </c>
      <c r="O38" s="44">
        <v>1</v>
      </c>
      <c r="P38" s="20"/>
      <c r="Q38" s="20"/>
    </row>
    <row r="39" spans="1:15" ht="12.75">
      <c r="A39" s="100" t="s">
        <v>110</v>
      </c>
      <c r="B39" s="59">
        <f>SUM(B38)</f>
        <v>0</v>
      </c>
      <c r="C39" s="61"/>
      <c r="D39" s="61"/>
      <c r="E39" s="61"/>
      <c r="F39" s="61"/>
      <c r="G39" s="61"/>
      <c r="H39" s="61"/>
      <c r="I39" s="61"/>
      <c r="J39" s="61"/>
      <c r="K39" s="61"/>
      <c r="L39" s="60">
        <f>SUM(L38)</f>
        <v>0</v>
      </c>
      <c r="M39" s="59"/>
      <c r="N39" s="59">
        <f>SUM(N38)</f>
        <v>0</v>
      </c>
      <c r="O39" s="59">
        <v>1</v>
      </c>
    </row>
    <row r="40" spans="1:20" s="18" customFormat="1" ht="12.75">
      <c r="A40" s="77"/>
      <c r="B40" s="77"/>
      <c r="C40" s="44">
        <v>2</v>
      </c>
      <c r="D40" s="44" t="s">
        <v>107</v>
      </c>
      <c r="E40" s="44">
        <v>5401</v>
      </c>
      <c r="F40" s="44">
        <v>0.96</v>
      </c>
      <c r="G40" s="44">
        <v>0.63</v>
      </c>
      <c r="H40" s="44">
        <f>E40*(F40+G40)</f>
        <v>8587.589999999998</v>
      </c>
      <c r="I40" s="261">
        <f>ROUND(H40,0)</f>
        <v>8588</v>
      </c>
      <c r="J40" s="44"/>
      <c r="K40" s="90">
        <f t="shared" si="1"/>
        <v>0</v>
      </c>
      <c r="L40" s="45">
        <f>ROUND(B40*K40,2)</f>
        <v>0</v>
      </c>
      <c r="M40" s="44"/>
      <c r="N40" s="45">
        <f>ROUND(K40*O40*M40/100,2)</f>
        <v>0</v>
      </c>
      <c r="O40" s="44">
        <f>B40</f>
        <v>0</v>
      </c>
      <c r="T40" s="69"/>
    </row>
    <row r="41" spans="1:15" ht="12.75">
      <c r="A41" s="77"/>
      <c r="B41" s="77"/>
      <c r="C41" s="44">
        <v>2</v>
      </c>
      <c r="D41" s="44" t="s">
        <v>107</v>
      </c>
      <c r="E41" s="44">
        <v>5401</v>
      </c>
      <c r="F41" s="44">
        <v>0.96</v>
      </c>
      <c r="G41" s="44">
        <v>0.63</v>
      </c>
      <c r="H41" s="44">
        <f>E41*(F41+G41)</f>
        <v>8587.589999999998</v>
      </c>
      <c r="I41" s="261">
        <f>ROUND(H41,0)</f>
        <v>8588</v>
      </c>
      <c r="J41" s="44"/>
      <c r="K41" s="90">
        <f t="shared" si="1"/>
        <v>0</v>
      </c>
      <c r="L41" s="45">
        <f>ROUND(B41*K41,2)</f>
        <v>0</v>
      </c>
      <c r="M41" s="44"/>
      <c r="N41" s="45">
        <f>ROUND(K41*O41*M41/100,2)</f>
        <v>0</v>
      </c>
      <c r="O41" s="44">
        <f>B41</f>
        <v>0</v>
      </c>
    </row>
    <row r="42" spans="1:15" ht="12.75">
      <c r="A42" s="77"/>
      <c r="B42" s="77"/>
      <c r="C42" s="44">
        <v>2</v>
      </c>
      <c r="D42" s="44" t="s">
        <v>107</v>
      </c>
      <c r="E42" s="44">
        <v>5401</v>
      </c>
      <c r="F42" s="44">
        <v>0.96</v>
      </c>
      <c r="G42" s="44">
        <v>0.63</v>
      </c>
      <c r="H42" s="44">
        <f>E42*(F42+G42)</f>
        <v>8587.589999999998</v>
      </c>
      <c r="I42" s="261">
        <f>ROUND(H42,0)</f>
        <v>8588</v>
      </c>
      <c r="J42" s="44"/>
      <c r="K42" s="90">
        <f t="shared" si="1"/>
        <v>0</v>
      </c>
      <c r="L42" s="45">
        <f>ROUND(B42*K42,2)</f>
        <v>0</v>
      </c>
      <c r="M42" s="44"/>
      <c r="N42" s="45">
        <f>ROUND(K42*O42*M42/100,2)</f>
        <v>0</v>
      </c>
      <c r="O42" s="44">
        <f>B42</f>
        <v>0</v>
      </c>
    </row>
    <row r="43" spans="1:15" ht="12.75">
      <c r="A43" s="77"/>
      <c r="B43" s="77"/>
      <c r="C43" s="44">
        <v>2</v>
      </c>
      <c r="D43" s="44" t="s">
        <v>107</v>
      </c>
      <c r="E43" s="44">
        <v>5401</v>
      </c>
      <c r="F43" s="44">
        <v>0.96</v>
      </c>
      <c r="G43" s="44">
        <v>0.63</v>
      </c>
      <c r="H43" s="44">
        <f>E43*(F43+G43)</f>
        <v>8587.589999999998</v>
      </c>
      <c r="I43" s="261">
        <f>ROUND(H43,0)</f>
        <v>8588</v>
      </c>
      <c r="J43" s="44"/>
      <c r="K43" s="90">
        <f t="shared" si="1"/>
        <v>0</v>
      </c>
      <c r="L43" s="45">
        <f>ROUND(B43*K43,2)</f>
        <v>0</v>
      </c>
      <c r="M43" s="44"/>
      <c r="N43" s="45">
        <f>ROUND(K43*O43*M43/100,2)</f>
        <v>0</v>
      </c>
      <c r="O43" s="44">
        <f>B43</f>
        <v>0</v>
      </c>
    </row>
    <row r="44" spans="1:15" ht="12.75">
      <c r="A44" s="77"/>
      <c r="B44" s="77"/>
      <c r="C44" s="44">
        <v>3</v>
      </c>
      <c r="D44" s="44" t="s">
        <v>107</v>
      </c>
      <c r="E44" s="44">
        <v>5401</v>
      </c>
      <c r="F44" s="44">
        <v>0.96</v>
      </c>
      <c r="G44" s="44">
        <v>0.63</v>
      </c>
      <c r="H44" s="44">
        <f>E44*(F44+G44)</f>
        <v>8587.589999999998</v>
      </c>
      <c r="I44" s="261">
        <f>ROUND(H44,0)</f>
        <v>8588</v>
      </c>
      <c r="J44" s="44"/>
      <c r="K44" s="90">
        <f>ROUND(I44*J44,2)</f>
        <v>0</v>
      </c>
      <c r="L44" s="45">
        <f>ROUND(B44*K44,2)</f>
        <v>0</v>
      </c>
      <c r="M44" s="44"/>
      <c r="N44" s="45">
        <f>ROUND(K44*O44*M44/100,2)</f>
        <v>0</v>
      </c>
      <c r="O44" s="44">
        <f>B44</f>
        <v>0</v>
      </c>
    </row>
    <row r="45" spans="1:15" ht="12.75">
      <c r="A45" s="100" t="s">
        <v>108</v>
      </c>
      <c r="B45" s="59">
        <f>SUM(B40:B44)</f>
        <v>0</v>
      </c>
      <c r="C45" s="59"/>
      <c r="D45" s="59"/>
      <c r="E45" s="61"/>
      <c r="F45" s="59"/>
      <c r="G45" s="59"/>
      <c r="H45" s="59"/>
      <c r="I45" s="59"/>
      <c r="J45" s="59"/>
      <c r="K45" s="59"/>
      <c r="L45" s="103">
        <f>SUM(L40:L44)</f>
        <v>0</v>
      </c>
      <c r="M45" s="59"/>
      <c r="N45" s="60">
        <f>SUM(N40:N44)</f>
        <v>0</v>
      </c>
      <c r="O45" s="59">
        <f>SUM(O40:O44)</f>
        <v>0</v>
      </c>
    </row>
    <row r="46" spans="1:15" ht="16.5" customHeight="1">
      <c r="A46" s="77"/>
      <c r="B46" s="44"/>
      <c r="C46" s="44">
        <v>1</v>
      </c>
      <c r="D46" s="48" t="s">
        <v>169</v>
      </c>
      <c r="E46" s="44">
        <v>5401</v>
      </c>
      <c r="F46" s="44">
        <v>0.96</v>
      </c>
      <c r="G46" s="44">
        <v>0.23</v>
      </c>
      <c r="H46" s="44">
        <f>E46*(F46+G46)</f>
        <v>6427.19</v>
      </c>
      <c r="I46" s="261">
        <f>ROUND(H46,0)</f>
        <v>6427</v>
      </c>
      <c r="J46" s="44"/>
      <c r="K46" s="90">
        <f t="shared" si="1"/>
        <v>0</v>
      </c>
      <c r="L46" s="104">
        <f>ROUND(B46*K46,2)</f>
        <v>0</v>
      </c>
      <c r="M46" s="44"/>
      <c r="N46" s="45">
        <f>K46*O46*M46/100</f>
        <v>0</v>
      </c>
      <c r="O46" s="44">
        <f>B46</f>
        <v>0</v>
      </c>
    </row>
    <row r="47" spans="1:15" s="18" customFormat="1" ht="12.75" customHeight="1">
      <c r="A47" s="100" t="s">
        <v>113</v>
      </c>
      <c r="B47" s="59">
        <f>SUM(B46)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103">
        <f>SUM(L46)</f>
        <v>0</v>
      </c>
      <c r="M47" s="59"/>
      <c r="N47" s="60">
        <f>SUM(N46)</f>
        <v>0</v>
      </c>
      <c r="O47" s="59">
        <f>SUM(O46)</f>
        <v>0</v>
      </c>
    </row>
    <row r="48" spans="1:17" ht="23.25" customHeight="1">
      <c r="A48" s="101" t="s">
        <v>5</v>
      </c>
      <c r="B48" s="46">
        <f>B8+B10+B13+B16+B19+B21+B25+B37+B39+B45+B47</f>
        <v>2</v>
      </c>
      <c r="C48" s="46"/>
      <c r="D48" s="46"/>
      <c r="E48" s="46"/>
      <c r="F48" s="46"/>
      <c r="G48" s="46"/>
      <c r="H48" s="46"/>
      <c r="I48" s="262"/>
      <c r="J48" s="46"/>
      <c r="K48" s="264"/>
      <c r="L48" s="46">
        <f>L8+L10+L13+L16+L19+L21+L25+L37+L39+L45+L47</f>
        <v>0</v>
      </c>
      <c r="M48" s="46">
        <f>M8+M10+M13+M16+M19+M21+M25+M37+M39+M45+M47</f>
        <v>0</v>
      </c>
      <c r="N48" s="46">
        <f>N8+N10+N13+N16+N19+N21+N25+N37+N39+N45+N47</f>
        <v>0</v>
      </c>
      <c r="O48" s="43"/>
      <c r="Q48" s="54"/>
    </row>
    <row r="49" spans="1:15" ht="23.25" customHeight="1">
      <c r="A49" s="102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06"/>
      <c r="M49" s="64"/>
      <c r="N49" s="64"/>
      <c r="O49" s="63"/>
    </row>
    <row r="50" spans="1:14" s="18" customFormat="1" ht="12.75">
      <c r="A50" s="33" t="s">
        <v>0</v>
      </c>
      <c r="B50" s="34"/>
      <c r="C50" s="34"/>
      <c r="D50" s="34" t="s">
        <v>137</v>
      </c>
      <c r="E50"/>
      <c r="F50" s="34" t="s">
        <v>240</v>
      </c>
      <c r="G50" s="34"/>
      <c r="H50" s="34"/>
      <c r="I50" s="34" t="s">
        <v>241</v>
      </c>
      <c r="J50"/>
      <c r="K50"/>
      <c r="M50"/>
      <c r="N50" t="s">
        <v>217</v>
      </c>
    </row>
    <row r="51" spans="1:14" s="18" customFormat="1" ht="12.75">
      <c r="A51" s="34"/>
      <c r="B51" s="34"/>
      <c r="C51" s="34"/>
      <c r="D51" s="34"/>
      <c r="E51"/>
      <c r="F51"/>
      <c r="G51"/>
      <c r="H51"/>
      <c r="I51"/>
      <c r="J51"/>
      <c r="K51" t="s">
        <v>192</v>
      </c>
      <c r="L51" s="127">
        <f>L7+L9+L11+L16+L19+L24</f>
        <v>0</v>
      </c>
      <c r="M51"/>
      <c r="N51" s="127">
        <f>N9+N11+N14+N15+N18+N24</f>
        <v>0</v>
      </c>
    </row>
    <row r="52" spans="1:14" ht="12.75">
      <c r="A52" s="18"/>
      <c r="B52" s="18"/>
      <c r="C52" s="18"/>
      <c r="D52" s="18"/>
      <c r="K52" t="s">
        <v>220</v>
      </c>
      <c r="L52" s="127">
        <f>L48-L51</f>
        <v>0</v>
      </c>
      <c r="N52" s="127">
        <f>N48-N51</f>
        <v>0</v>
      </c>
    </row>
    <row r="53" ht="12.75">
      <c r="F53" t="e">
        <f>L37/B37</f>
        <v>#DIV/0!</v>
      </c>
    </row>
    <row r="58" ht="12.75">
      <c r="A58" s="18" t="s">
        <v>227</v>
      </c>
    </row>
    <row r="59" ht="12.75">
      <c r="A59" s="18"/>
    </row>
    <row r="60" spans="1:15" ht="12.75">
      <c r="A60" s="14" t="s">
        <v>160</v>
      </c>
      <c r="B60" s="12">
        <v>1</v>
      </c>
      <c r="C60" s="12">
        <v>3</v>
      </c>
      <c r="D60" s="12" t="s">
        <v>81</v>
      </c>
      <c r="E60" s="12">
        <v>5001</v>
      </c>
      <c r="F60" s="12">
        <v>1.12</v>
      </c>
      <c r="G60" s="12">
        <v>0.63</v>
      </c>
      <c r="H60" s="12">
        <f>E60*(F60+G60)</f>
        <v>8751.75</v>
      </c>
      <c r="I60" s="12">
        <f>ROUND(H60,2)</f>
        <v>8751.75</v>
      </c>
      <c r="J60" s="12">
        <v>1.45</v>
      </c>
      <c r="K60" s="12">
        <f>ROUND(I60*J60,2)</f>
        <v>12690.04</v>
      </c>
      <c r="L60" s="14">
        <f>ROUND(B60*K60,2)</f>
        <v>12690.04</v>
      </c>
      <c r="M60" s="12">
        <v>12</v>
      </c>
      <c r="N60" s="12">
        <f>L60*M60/100</f>
        <v>1522.8048000000001</v>
      </c>
      <c r="O60" s="12">
        <f>B60</f>
        <v>1</v>
      </c>
    </row>
  </sheetData>
  <sheetProtection/>
  <mergeCells count="3">
    <mergeCell ref="E3:L3"/>
    <mergeCell ref="M3:N3"/>
    <mergeCell ref="E1:L1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7"/>
  <sheetViews>
    <sheetView zoomScale="80" zoomScaleNormal="80" workbookViewId="0" topLeftCell="A9">
      <selection activeCell="C45" sqref="C45:D47"/>
    </sheetView>
  </sheetViews>
  <sheetFormatPr defaultColWidth="9.00390625" defaultRowHeight="12.75"/>
  <cols>
    <col min="1" max="1" width="17.25390625" style="29" customWidth="1"/>
    <col min="2" max="2" width="9.125" style="29" customWidth="1"/>
    <col min="3" max="3" width="11.625" style="29" customWidth="1"/>
    <col min="4" max="4" width="22.25390625" style="29" customWidth="1"/>
    <col min="5" max="5" width="9.375" style="29" customWidth="1"/>
    <col min="6" max="6" width="8.125" style="29" customWidth="1"/>
    <col min="7" max="8" width="9.125" style="29" customWidth="1"/>
    <col min="9" max="9" width="8.375" style="29" customWidth="1"/>
    <col min="10" max="10" width="6.25390625" style="29" customWidth="1"/>
    <col min="11" max="11" width="9.125" style="29" customWidth="1"/>
    <col min="12" max="12" width="11.875" style="30" customWidth="1"/>
    <col min="13" max="13" width="5.875" style="29" customWidth="1"/>
    <col min="14" max="14" width="9.625" style="29" bestFit="1" customWidth="1"/>
    <col min="15" max="15" width="11.625" style="50" customWidth="1"/>
    <col min="16" max="16" width="8.75390625" style="50" customWidth="1"/>
    <col min="17" max="17" width="7.625" style="50" customWidth="1"/>
    <col min="18" max="18" width="8.75390625" style="29" customWidth="1"/>
    <col min="19" max="19" width="7.375" style="29" customWidth="1"/>
    <col min="20" max="20" width="12.125" style="29" customWidth="1"/>
    <col min="21" max="16384" width="9.125" style="29" customWidth="1"/>
  </cols>
  <sheetData>
    <row r="1" ht="9.75" customHeight="1"/>
    <row r="2" spans="1:12" ht="18.75" customHeight="1">
      <c r="A2" s="29" t="s">
        <v>92</v>
      </c>
      <c r="C2" s="346" t="s">
        <v>307</v>
      </c>
      <c r="D2" s="347"/>
      <c r="E2" s="347"/>
      <c r="F2" s="347"/>
      <c r="G2" s="347"/>
      <c r="H2" s="347"/>
      <c r="I2" s="347"/>
      <c r="J2" s="348"/>
      <c r="K2" s="348"/>
      <c r="L2" s="348"/>
    </row>
    <row r="3" spans="1:19" ht="12.75">
      <c r="A3" s="29" t="s">
        <v>79</v>
      </c>
      <c r="G3" s="29" t="s">
        <v>59</v>
      </c>
      <c r="R3" s="344"/>
      <c r="S3" s="344"/>
    </row>
    <row r="4" spans="1:22" ht="76.5">
      <c r="A4" s="24" t="s">
        <v>9</v>
      </c>
      <c r="B4" s="31" t="s">
        <v>10</v>
      </c>
      <c r="C4" s="24" t="s">
        <v>93</v>
      </c>
      <c r="D4" s="24" t="s">
        <v>11</v>
      </c>
      <c r="E4" s="24" t="s">
        <v>12</v>
      </c>
      <c r="F4" s="31" t="s">
        <v>14</v>
      </c>
      <c r="G4" s="31" t="s">
        <v>15</v>
      </c>
      <c r="H4" s="31" t="s">
        <v>22</v>
      </c>
      <c r="I4" s="31" t="s">
        <v>23</v>
      </c>
      <c r="J4" s="31" t="s">
        <v>94</v>
      </c>
      <c r="K4" s="31" t="s">
        <v>69</v>
      </c>
      <c r="L4" s="237" t="s">
        <v>70</v>
      </c>
      <c r="M4" s="31" t="s">
        <v>95</v>
      </c>
      <c r="N4" s="31" t="s">
        <v>69</v>
      </c>
      <c r="O4" s="51" t="s">
        <v>16</v>
      </c>
      <c r="P4" s="51" t="s">
        <v>179</v>
      </c>
      <c r="Q4" s="51" t="s">
        <v>103</v>
      </c>
      <c r="R4" s="31" t="s">
        <v>180</v>
      </c>
      <c r="S4" s="24" t="s">
        <v>104</v>
      </c>
      <c r="T4" s="31" t="s">
        <v>153</v>
      </c>
      <c r="U4" s="131" t="s">
        <v>222</v>
      </c>
      <c r="V4" s="29" t="s">
        <v>191</v>
      </c>
    </row>
    <row r="5" spans="1:20" ht="12.75">
      <c r="A5" s="24" t="s">
        <v>79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4"/>
      <c r="N5" s="24"/>
      <c r="O5" s="52"/>
      <c r="P5" s="52"/>
      <c r="Q5" s="52"/>
      <c r="R5" s="24"/>
      <c r="S5" s="24"/>
      <c r="T5" s="24"/>
    </row>
    <row r="6" spans="1:20" ht="12.75">
      <c r="A6" s="345" t="s">
        <v>98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117"/>
      <c r="Q6" s="117"/>
      <c r="R6" s="24"/>
      <c r="S6" s="24"/>
      <c r="T6" s="24"/>
    </row>
    <row r="7" spans="1:20" ht="15">
      <c r="A7" s="97"/>
      <c r="B7" s="97" t="s">
        <v>84</v>
      </c>
      <c r="C7" s="97" t="s">
        <v>195</v>
      </c>
      <c r="D7" s="97" t="s">
        <v>130</v>
      </c>
      <c r="E7" s="52" t="s">
        <v>168</v>
      </c>
      <c r="F7" s="316"/>
      <c r="G7" s="52">
        <v>6104</v>
      </c>
      <c r="H7" s="52">
        <v>0.2</v>
      </c>
      <c r="I7" s="52">
        <v>0.1</v>
      </c>
      <c r="J7" s="52"/>
      <c r="K7" s="79">
        <f aca="true" t="shared" si="0" ref="K7:K19">G7*(1+H7+I7+J7)</f>
        <v>7935.2</v>
      </c>
      <c r="L7" s="91">
        <f>ROUND(K7,0)</f>
        <v>7935</v>
      </c>
      <c r="M7" s="52"/>
      <c r="N7" s="79">
        <f>ROUND(L7*M7,2)</f>
        <v>0</v>
      </c>
      <c r="O7" s="65">
        <f>ROUND(N7*F7,2)</f>
        <v>0</v>
      </c>
      <c r="P7" s="79"/>
      <c r="Q7" s="79"/>
      <c r="R7" s="79">
        <f>O7*Q7/100</f>
        <v>0</v>
      </c>
      <c r="S7" s="79">
        <f aca="true" t="shared" si="1" ref="S7:S17">F7</f>
        <v>0</v>
      </c>
      <c r="T7" s="65">
        <f>O7+P7+R7</f>
        <v>0</v>
      </c>
    </row>
    <row r="8" spans="1:20" s="50" customFormat="1" ht="15">
      <c r="A8" s="97"/>
      <c r="B8" s="97" t="s">
        <v>84</v>
      </c>
      <c r="C8" s="97" t="s">
        <v>196</v>
      </c>
      <c r="D8" s="97" t="s">
        <v>131</v>
      </c>
      <c r="E8" s="52" t="s">
        <v>51</v>
      </c>
      <c r="F8" s="316"/>
      <c r="G8" s="52">
        <v>6104</v>
      </c>
      <c r="H8" s="52">
        <v>0.2</v>
      </c>
      <c r="I8" s="52">
        <v>0.1</v>
      </c>
      <c r="J8" s="52">
        <v>0.5</v>
      </c>
      <c r="K8" s="79">
        <f t="shared" si="0"/>
        <v>10987.2</v>
      </c>
      <c r="L8" s="91">
        <f aca="true" t="shared" si="2" ref="L8:L17">ROUND(K8,0)</f>
        <v>10987</v>
      </c>
      <c r="M8" s="52"/>
      <c r="N8" s="79">
        <f aca="true" t="shared" si="3" ref="N8:N19">ROUND(L8*M8,2)</f>
        <v>0</v>
      </c>
      <c r="O8" s="65">
        <f aca="true" t="shared" si="4" ref="O8:O17">ROUND(N8*F8,2)</f>
        <v>0</v>
      </c>
      <c r="P8" s="79"/>
      <c r="Q8" s="79"/>
      <c r="R8" s="79">
        <f aca="true" t="shared" si="5" ref="R8:R19">O8*Q8/100</f>
        <v>0</v>
      </c>
      <c r="S8" s="79">
        <f t="shared" si="1"/>
        <v>0</v>
      </c>
      <c r="T8" s="65">
        <f aca="true" t="shared" si="6" ref="T8:T19">O8+P8+R8</f>
        <v>0</v>
      </c>
    </row>
    <row r="9" spans="1:20" ht="15">
      <c r="A9" s="97"/>
      <c r="B9" s="97" t="s">
        <v>84</v>
      </c>
      <c r="C9" s="97" t="s">
        <v>197</v>
      </c>
      <c r="D9" s="97" t="s">
        <v>132</v>
      </c>
      <c r="E9" s="52" t="s">
        <v>51</v>
      </c>
      <c r="F9" s="316"/>
      <c r="G9" s="52">
        <v>6104</v>
      </c>
      <c r="H9" s="52">
        <v>0.2</v>
      </c>
      <c r="I9" s="52">
        <v>0.1</v>
      </c>
      <c r="J9" s="52">
        <v>0.5</v>
      </c>
      <c r="K9" s="79">
        <f t="shared" si="0"/>
        <v>10987.2</v>
      </c>
      <c r="L9" s="91">
        <f t="shared" si="2"/>
        <v>10987</v>
      </c>
      <c r="M9" s="52"/>
      <c r="N9" s="79">
        <f t="shared" si="3"/>
        <v>0</v>
      </c>
      <c r="O9" s="65">
        <f t="shared" si="4"/>
        <v>0</v>
      </c>
      <c r="P9" s="79"/>
      <c r="Q9" s="79"/>
      <c r="R9" s="79">
        <f t="shared" si="5"/>
        <v>0</v>
      </c>
      <c r="S9" s="79">
        <f t="shared" si="1"/>
        <v>0</v>
      </c>
      <c r="T9" s="65">
        <f t="shared" si="6"/>
        <v>0</v>
      </c>
    </row>
    <row r="10" spans="1:22" ht="15">
      <c r="A10" s="97"/>
      <c r="B10" s="97" t="s">
        <v>84</v>
      </c>
      <c r="C10" s="97" t="s">
        <v>198</v>
      </c>
      <c r="D10" s="97" t="s">
        <v>132</v>
      </c>
      <c r="E10" s="52" t="s">
        <v>51</v>
      </c>
      <c r="F10" s="316"/>
      <c r="G10" s="52">
        <v>6104</v>
      </c>
      <c r="H10" s="52">
        <v>0.2</v>
      </c>
      <c r="I10" s="52">
        <v>0.1</v>
      </c>
      <c r="J10" s="52">
        <v>0.5</v>
      </c>
      <c r="K10" s="79">
        <f t="shared" si="0"/>
        <v>10987.2</v>
      </c>
      <c r="L10" s="91">
        <f t="shared" si="2"/>
        <v>10987</v>
      </c>
      <c r="M10" s="52"/>
      <c r="N10" s="79">
        <f t="shared" si="3"/>
        <v>0</v>
      </c>
      <c r="O10" s="65">
        <f t="shared" si="4"/>
        <v>0</v>
      </c>
      <c r="P10" s="49"/>
      <c r="Q10" s="49"/>
      <c r="R10" s="79">
        <f t="shared" si="5"/>
        <v>0</v>
      </c>
      <c r="S10" s="79">
        <f t="shared" si="1"/>
        <v>0</v>
      </c>
      <c r="T10" s="65">
        <f t="shared" si="6"/>
        <v>0</v>
      </c>
      <c r="V10" s="133"/>
    </row>
    <row r="11" spans="1:22" ht="15">
      <c r="A11" s="97"/>
      <c r="B11" s="97" t="s">
        <v>84</v>
      </c>
      <c r="C11" s="97" t="s">
        <v>199</v>
      </c>
      <c r="D11" s="97" t="s">
        <v>134</v>
      </c>
      <c r="E11" s="52" t="s">
        <v>51</v>
      </c>
      <c r="F11" s="316"/>
      <c r="G11" s="52">
        <v>6104</v>
      </c>
      <c r="H11" s="52">
        <v>0.2</v>
      </c>
      <c r="I11" s="52">
        <v>0.1</v>
      </c>
      <c r="J11" s="52">
        <v>0.5</v>
      </c>
      <c r="K11" s="79">
        <f t="shared" si="0"/>
        <v>10987.2</v>
      </c>
      <c r="L11" s="91">
        <f t="shared" si="2"/>
        <v>10987</v>
      </c>
      <c r="M11" s="52"/>
      <c r="N11" s="79">
        <f t="shared" si="3"/>
        <v>0</v>
      </c>
      <c r="O11" s="65">
        <f t="shared" si="4"/>
        <v>0</v>
      </c>
      <c r="P11" s="79"/>
      <c r="Q11" s="79"/>
      <c r="R11" s="79">
        <f t="shared" si="5"/>
        <v>0</v>
      </c>
      <c r="S11" s="79">
        <f t="shared" si="1"/>
        <v>0</v>
      </c>
      <c r="T11" s="65">
        <f t="shared" si="6"/>
        <v>0</v>
      </c>
      <c r="U11" s="130"/>
      <c r="V11" s="133"/>
    </row>
    <row r="12" spans="1:22" ht="15">
      <c r="A12" s="97" t="s">
        <v>174</v>
      </c>
      <c r="B12" s="97" t="s">
        <v>84</v>
      </c>
      <c r="C12" s="97" t="s">
        <v>199</v>
      </c>
      <c r="D12" s="97" t="s">
        <v>134</v>
      </c>
      <c r="E12" s="52" t="s">
        <v>51</v>
      </c>
      <c r="F12" s="316"/>
      <c r="G12" s="52">
        <v>6104</v>
      </c>
      <c r="H12" s="52">
        <v>0.2</v>
      </c>
      <c r="I12" s="52">
        <v>0.1</v>
      </c>
      <c r="J12" s="52">
        <v>0.5</v>
      </c>
      <c r="K12" s="79">
        <f>G12*(1+H12+I12+J12)</f>
        <v>10987.2</v>
      </c>
      <c r="L12" s="91">
        <f t="shared" si="2"/>
        <v>10987</v>
      </c>
      <c r="M12" s="52"/>
      <c r="N12" s="79">
        <f>ROUND(L12*M12,2)</f>
        <v>0</v>
      </c>
      <c r="O12" s="65">
        <f t="shared" si="4"/>
        <v>0</v>
      </c>
      <c r="P12" s="79"/>
      <c r="Q12" s="79"/>
      <c r="R12" s="79">
        <f>O12*Q12/100</f>
        <v>0</v>
      </c>
      <c r="S12" s="79">
        <f>F12</f>
        <v>0</v>
      </c>
      <c r="T12" s="65">
        <f>O12+P12+R12</f>
        <v>0</v>
      </c>
      <c r="V12" s="133"/>
    </row>
    <row r="13" spans="1:22" ht="15">
      <c r="A13" s="97" t="s">
        <v>74</v>
      </c>
      <c r="B13" s="97" t="s">
        <v>84</v>
      </c>
      <c r="C13" s="97" t="s">
        <v>200</v>
      </c>
      <c r="D13" s="97" t="s">
        <v>181</v>
      </c>
      <c r="E13" s="52" t="s">
        <v>51</v>
      </c>
      <c r="F13" s="316"/>
      <c r="G13" s="52">
        <v>6104</v>
      </c>
      <c r="H13" s="52">
        <v>0.2</v>
      </c>
      <c r="I13" s="52">
        <v>0.1</v>
      </c>
      <c r="J13" s="52">
        <v>0.5</v>
      </c>
      <c r="K13" s="79">
        <f t="shared" si="0"/>
        <v>10987.2</v>
      </c>
      <c r="L13" s="91">
        <f t="shared" si="2"/>
        <v>10987</v>
      </c>
      <c r="M13" s="52"/>
      <c r="N13" s="79">
        <f t="shared" si="3"/>
        <v>0</v>
      </c>
      <c r="O13" s="65">
        <f t="shared" si="4"/>
        <v>0</v>
      </c>
      <c r="P13" s="49"/>
      <c r="Q13" s="49"/>
      <c r="R13" s="79">
        <f t="shared" si="5"/>
        <v>0</v>
      </c>
      <c r="S13" s="79">
        <f t="shared" si="1"/>
        <v>0</v>
      </c>
      <c r="T13" s="65">
        <f t="shared" si="6"/>
        <v>0</v>
      </c>
      <c r="V13" s="133"/>
    </row>
    <row r="14" spans="1:22" ht="15">
      <c r="A14" s="97" t="s">
        <v>74</v>
      </c>
      <c r="B14" s="97" t="s">
        <v>84</v>
      </c>
      <c r="C14" s="97" t="s">
        <v>139</v>
      </c>
      <c r="D14" s="97" t="s">
        <v>133</v>
      </c>
      <c r="E14" s="52" t="s">
        <v>51</v>
      </c>
      <c r="F14" s="316"/>
      <c r="G14" s="52">
        <v>6104</v>
      </c>
      <c r="H14" s="52">
        <v>0.2</v>
      </c>
      <c r="I14" s="52">
        <v>0.1</v>
      </c>
      <c r="J14" s="52">
        <v>0.5</v>
      </c>
      <c r="K14" s="79">
        <f t="shared" si="0"/>
        <v>10987.2</v>
      </c>
      <c r="L14" s="91">
        <f t="shared" si="2"/>
        <v>10987</v>
      </c>
      <c r="M14" s="52"/>
      <c r="N14" s="79">
        <f t="shared" si="3"/>
        <v>0</v>
      </c>
      <c r="O14" s="65">
        <f t="shared" si="4"/>
        <v>0</v>
      </c>
      <c r="P14" s="49"/>
      <c r="Q14" s="49"/>
      <c r="R14" s="79">
        <f t="shared" si="5"/>
        <v>0</v>
      </c>
      <c r="S14" s="79">
        <f t="shared" si="1"/>
        <v>0</v>
      </c>
      <c r="T14" s="65">
        <f t="shared" si="6"/>
        <v>0</v>
      </c>
      <c r="V14" s="133"/>
    </row>
    <row r="15" spans="1:22" ht="15">
      <c r="A15" s="97" t="s">
        <v>174</v>
      </c>
      <c r="B15" s="97" t="s">
        <v>84</v>
      </c>
      <c r="C15" s="97" t="s">
        <v>173</v>
      </c>
      <c r="D15" s="97" t="s">
        <v>175</v>
      </c>
      <c r="E15" s="52" t="s">
        <v>168</v>
      </c>
      <c r="F15" s="316"/>
      <c r="G15" s="52">
        <v>6104</v>
      </c>
      <c r="H15" s="52">
        <v>0.2</v>
      </c>
      <c r="I15" s="52">
        <v>0.1</v>
      </c>
      <c r="J15" s="52">
        <v>0.5</v>
      </c>
      <c r="K15" s="79">
        <f t="shared" si="0"/>
        <v>10987.2</v>
      </c>
      <c r="L15" s="91">
        <f t="shared" si="2"/>
        <v>10987</v>
      </c>
      <c r="M15" s="52"/>
      <c r="N15" s="79">
        <f t="shared" si="3"/>
        <v>0</v>
      </c>
      <c r="O15" s="65">
        <f t="shared" si="4"/>
        <v>0</v>
      </c>
      <c r="P15" s="49"/>
      <c r="Q15" s="49"/>
      <c r="R15" s="79">
        <f t="shared" si="5"/>
        <v>0</v>
      </c>
      <c r="S15" s="79">
        <f t="shared" si="1"/>
        <v>0</v>
      </c>
      <c r="T15" s="65">
        <f t="shared" si="6"/>
        <v>0</v>
      </c>
      <c r="V15" s="133"/>
    </row>
    <row r="16" spans="1:22" ht="15">
      <c r="A16" s="97" t="s">
        <v>74</v>
      </c>
      <c r="B16" s="97" t="s">
        <v>84</v>
      </c>
      <c r="C16" s="97" t="s">
        <v>139</v>
      </c>
      <c r="D16" s="97" t="s">
        <v>151</v>
      </c>
      <c r="E16" s="52" t="s">
        <v>51</v>
      </c>
      <c r="F16" s="316"/>
      <c r="G16" s="52">
        <v>6104</v>
      </c>
      <c r="H16" s="52">
        <v>0.2</v>
      </c>
      <c r="I16" s="52">
        <v>0.1</v>
      </c>
      <c r="J16" s="52">
        <v>0.5</v>
      </c>
      <c r="K16" s="79">
        <f t="shared" si="0"/>
        <v>10987.2</v>
      </c>
      <c r="L16" s="91">
        <f t="shared" si="2"/>
        <v>10987</v>
      </c>
      <c r="M16" s="52"/>
      <c r="N16" s="79">
        <f t="shared" si="3"/>
        <v>0</v>
      </c>
      <c r="O16" s="65">
        <f t="shared" si="4"/>
        <v>0</v>
      </c>
      <c r="P16" s="49"/>
      <c r="Q16" s="49"/>
      <c r="R16" s="79">
        <f t="shared" si="5"/>
        <v>0</v>
      </c>
      <c r="S16" s="79">
        <f t="shared" si="1"/>
        <v>0</v>
      </c>
      <c r="T16" s="65">
        <f t="shared" si="6"/>
        <v>0</v>
      </c>
      <c r="V16" s="133"/>
    </row>
    <row r="17" spans="1:22" ht="15">
      <c r="A17" s="97" t="s">
        <v>74</v>
      </c>
      <c r="B17" s="97" t="s">
        <v>84</v>
      </c>
      <c r="C17" s="97" t="s">
        <v>91</v>
      </c>
      <c r="D17" s="97" t="s">
        <v>140</v>
      </c>
      <c r="E17" s="52" t="s">
        <v>51</v>
      </c>
      <c r="F17" s="316"/>
      <c r="G17" s="52">
        <v>6104</v>
      </c>
      <c r="H17" s="52">
        <v>0.2</v>
      </c>
      <c r="I17" s="52">
        <v>0.1</v>
      </c>
      <c r="J17" s="52">
        <v>0.5</v>
      </c>
      <c r="K17" s="79">
        <f t="shared" si="0"/>
        <v>10987.2</v>
      </c>
      <c r="L17" s="91">
        <f t="shared" si="2"/>
        <v>10987</v>
      </c>
      <c r="M17" s="52"/>
      <c r="N17" s="79">
        <f t="shared" si="3"/>
        <v>0</v>
      </c>
      <c r="O17" s="65">
        <f t="shared" si="4"/>
        <v>0</v>
      </c>
      <c r="P17" s="49"/>
      <c r="Q17" s="49"/>
      <c r="R17" s="79">
        <f t="shared" si="5"/>
        <v>0</v>
      </c>
      <c r="S17" s="79">
        <f t="shared" si="1"/>
        <v>0</v>
      </c>
      <c r="T17" s="65">
        <f t="shared" si="6"/>
        <v>0</v>
      </c>
      <c r="V17" s="133"/>
    </row>
    <row r="18" spans="1:22" ht="14.25">
      <c r="A18" s="74" t="s">
        <v>99</v>
      </c>
      <c r="B18" s="74"/>
      <c r="C18" s="74"/>
      <c r="D18" s="74"/>
      <c r="E18" s="75"/>
      <c r="F18" s="71">
        <f>SUM(F7:F17)</f>
        <v>0</v>
      </c>
      <c r="G18" s="98"/>
      <c r="H18" s="75"/>
      <c r="I18" s="75"/>
      <c r="J18" s="75"/>
      <c r="K18" s="66"/>
      <c r="L18" s="66"/>
      <c r="M18" s="98"/>
      <c r="N18" s="75"/>
      <c r="O18" s="66">
        <f>SUM(O7:O17)</f>
        <v>0</v>
      </c>
      <c r="P18" s="72"/>
      <c r="Q18" s="72"/>
      <c r="R18" s="66">
        <f>SUM(R7:R17)</f>
        <v>0</v>
      </c>
      <c r="S18" s="66">
        <f>SUM(S7:S17)</f>
        <v>0</v>
      </c>
      <c r="T18" s="66">
        <f>O18+R18</f>
        <v>0</v>
      </c>
      <c r="V18" s="66"/>
    </row>
    <row r="19" spans="1:21" s="109" customFormat="1" ht="15">
      <c r="A19" s="97"/>
      <c r="B19" s="97" t="s">
        <v>84</v>
      </c>
      <c r="C19" s="97" t="s">
        <v>201</v>
      </c>
      <c r="D19" s="97" t="s">
        <v>141</v>
      </c>
      <c r="E19" s="52" t="s">
        <v>51</v>
      </c>
      <c r="F19" s="118"/>
      <c r="G19" s="52">
        <v>6104</v>
      </c>
      <c r="H19" s="39">
        <v>0.2</v>
      </c>
      <c r="I19" s="39">
        <v>0.02</v>
      </c>
      <c r="J19" s="39">
        <v>0.5</v>
      </c>
      <c r="K19" s="49">
        <f t="shared" si="0"/>
        <v>10498.88</v>
      </c>
      <c r="L19" s="91">
        <f>ROUND(K19,0)</f>
        <v>10499</v>
      </c>
      <c r="M19" s="39"/>
      <c r="N19" s="49">
        <f t="shared" si="3"/>
        <v>0</v>
      </c>
      <c r="O19" s="65">
        <f>ROUND(N19*F19,2)</f>
        <v>0</v>
      </c>
      <c r="P19" s="49"/>
      <c r="Q19" s="49"/>
      <c r="R19" s="49">
        <f t="shared" si="5"/>
        <v>0</v>
      </c>
      <c r="S19" s="49"/>
      <c r="T19" s="108">
        <f t="shared" si="6"/>
        <v>0</v>
      </c>
      <c r="U19" s="129"/>
    </row>
    <row r="20" spans="1:22" s="110" customFormat="1" ht="15">
      <c r="A20" s="97"/>
      <c r="B20" s="97"/>
      <c r="C20" s="97">
        <v>0</v>
      </c>
      <c r="D20" s="97" t="s">
        <v>141</v>
      </c>
      <c r="E20" s="52" t="s">
        <v>51</v>
      </c>
      <c r="F20" s="119"/>
      <c r="G20" s="52">
        <v>6104</v>
      </c>
      <c r="H20" s="39">
        <v>0</v>
      </c>
      <c r="I20" s="39">
        <v>0.02</v>
      </c>
      <c r="J20" s="39">
        <v>0</v>
      </c>
      <c r="K20" s="39">
        <f>G20*(1+H20+I20+J20)</f>
        <v>6226.08</v>
      </c>
      <c r="L20" s="91">
        <f>ROUND(K20,0)</f>
        <v>6226</v>
      </c>
      <c r="M20" s="39"/>
      <c r="N20" s="49">
        <f>ROUND(L20*M20,2)</f>
        <v>0</v>
      </c>
      <c r="O20" s="65">
        <f>ROUND(N20*F20,2)</f>
        <v>0</v>
      </c>
      <c r="P20" s="49"/>
      <c r="Q20" s="49"/>
      <c r="R20" s="49">
        <f>O20*Q20/100</f>
        <v>0</v>
      </c>
      <c r="S20" s="49">
        <f>F20</f>
        <v>0</v>
      </c>
      <c r="T20" s="108">
        <f>O20+P20+R20</f>
        <v>0</v>
      </c>
      <c r="V20" s="134"/>
    </row>
    <row r="21" spans="1:22" s="110" customFormat="1" ht="15">
      <c r="A21" s="97"/>
      <c r="B21" s="97"/>
      <c r="C21" s="97">
        <v>0</v>
      </c>
      <c r="D21" s="97" t="s">
        <v>141</v>
      </c>
      <c r="E21" s="52" t="s">
        <v>51</v>
      </c>
      <c r="F21" s="119"/>
      <c r="G21" s="52">
        <v>6104</v>
      </c>
      <c r="H21" s="39">
        <v>0</v>
      </c>
      <c r="I21" s="39">
        <v>0.02</v>
      </c>
      <c r="J21" s="39">
        <v>0</v>
      </c>
      <c r="K21" s="39">
        <f>G21*(1+H21+I21+J21)</f>
        <v>6226.08</v>
      </c>
      <c r="L21" s="91">
        <f>ROUND(K21,0)</f>
        <v>6226</v>
      </c>
      <c r="M21" s="39"/>
      <c r="N21" s="49">
        <f>ROUND(L21*M21,2)</f>
        <v>0</v>
      </c>
      <c r="O21" s="65">
        <f>ROUND(N21*F21,2)</f>
        <v>0</v>
      </c>
      <c r="P21" s="49"/>
      <c r="Q21" s="49"/>
      <c r="R21" s="49">
        <f>O21*Q21/100</f>
        <v>0</v>
      </c>
      <c r="S21" s="49">
        <f>F21</f>
        <v>0</v>
      </c>
      <c r="T21" s="108">
        <f>O21+P21+R21</f>
        <v>0</v>
      </c>
      <c r="V21" s="134"/>
    </row>
    <row r="22" spans="1:20" ht="15">
      <c r="A22" s="99"/>
      <c r="B22" s="99"/>
      <c r="C22" s="99"/>
      <c r="D22" s="74" t="s">
        <v>142</v>
      </c>
      <c r="E22" s="98"/>
      <c r="F22" s="73">
        <f>SUM(F19:F21)</f>
        <v>0</v>
      </c>
      <c r="G22" s="98"/>
      <c r="H22" s="98"/>
      <c r="I22" s="98"/>
      <c r="J22" s="98"/>
      <c r="K22" s="98"/>
      <c r="L22" s="66"/>
      <c r="M22" s="98"/>
      <c r="N22" s="98"/>
      <c r="O22" s="73">
        <f>SUM(O19:O21)</f>
        <v>0</v>
      </c>
      <c r="P22" s="72"/>
      <c r="Q22" s="72"/>
      <c r="R22" s="66"/>
      <c r="S22" s="66">
        <f>SUM(S21)</f>
        <v>0</v>
      </c>
      <c r="T22" s="66">
        <f>O22+R22</f>
        <v>0</v>
      </c>
    </row>
    <row r="23" spans="1:20" ht="15">
      <c r="A23" s="97" t="s">
        <v>74</v>
      </c>
      <c r="B23" s="97" t="s">
        <v>84</v>
      </c>
      <c r="C23" s="97" t="s">
        <v>202</v>
      </c>
      <c r="D23" s="97" t="s">
        <v>105</v>
      </c>
      <c r="E23" s="52" t="s">
        <v>168</v>
      </c>
      <c r="F23" s="87"/>
      <c r="G23" s="52">
        <v>6104</v>
      </c>
      <c r="H23" s="52">
        <v>0.2</v>
      </c>
      <c r="I23" s="52">
        <v>0.01</v>
      </c>
      <c r="J23" s="52">
        <v>0</v>
      </c>
      <c r="K23" s="52">
        <f>G23*(1+H23+I23+J23)</f>
        <v>7385.84</v>
      </c>
      <c r="L23" s="91">
        <f>ROUND(K23,0)</f>
        <v>7386</v>
      </c>
      <c r="M23" s="52"/>
      <c r="N23" s="79">
        <f>ROUND(L23*M23,2)</f>
        <v>0</v>
      </c>
      <c r="O23" s="65">
        <f>ROUND(N23*F23,2)</f>
        <v>0</v>
      </c>
      <c r="P23" s="79"/>
      <c r="Q23" s="79"/>
      <c r="R23" s="79">
        <f>O23*Q23/100</f>
        <v>0</v>
      </c>
      <c r="S23" s="79">
        <f>F23</f>
        <v>0</v>
      </c>
      <c r="T23" s="65">
        <f>O23+P23+R23</f>
        <v>0</v>
      </c>
    </row>
    <row r="24" spans="1:20" ht="15">
      <c r="A24" s="99"/>
      <c r="B24" s="99"/>
      <c r="C24" s="99"/>
      <c r="D24" s="74" t="s">
        <v>106</v>
      </c>
      <c r="E24" s="98"/>
      <c r="F24" s="75">
        <f>SUM(F23)</f>
        <v>0</v>
      </c>
      <c r="G24" s="98">
        <v>5764</v>
      </c>
      <c r="H24" s="98"/>
      <c r="I24" s="98"/>
      <c r="J24" s="98"/>
      <c r="K24" s="98"/>
      <c r="L24" s="66"/>
      <c r="M24" s="98"/>
      <c r="N24" s="98"/>
      <c r="O24" s="66">
        <f>SUM(O23)</f>
        <v>0</v>
      </c>
      <c r="P24" s="72"/>
      <c r="Q24" s="72"/>
      <c r="R24" s="66"/>
      <c r="S24" s="66">
        <f>SUM(S23)</f>
        <v>0</v>
      </c>
      <c r="T24" s="66">
        <f>O24+R24</f>
        <v>0</v>
      </c>
    </row>
    <row r="25" spans="1:20" ht="15">
      <c r="A25" s="97"/>
      <c r="B25" s="97" t="s">
        <v>84</v>
      </c>
      <c r="C25" s="97" t="s">
        <v>202</v>
      </c>
      <c r="D25" s="97" t="s">
        <v>172</v>
      </c>
      <c r="E25" s="52" t="s">
        <v>168</v>
      </c>
      <c r="F25" s="52"/>
      <c r="G25" s="52">
        <v>6104</v>
      </c>
      <c r="H25" s="52">
        <v>0.2</v>
      </c>
      <c r="I25" s="52"/>
      <c r="J25" s="52">
        <v>0</v>
      </c>
      <c r="K25" s="52">
        <f>G25*(1+H25+I25+J25)</f>
        <v>7324.8</v>
      </c>
      <c r="L25" s="91">
        <f aca="true" t="shared" si="7" ref="L25:L40">ROUND(K25,0)</f>
        <v>7325</v>
      </c>
      <c r="M25" s="52"/>
      <c r="N25" s="79">
        <f>ROUND(L25*M25,2)</f>
        <v>0</v>
      </c>
      <c r="O25" s="65">
        <f>ROUND(N25*F25,2)</f>
        <v>0</v>
      </c>
      <c r="P25" s="49"/>
      <c r="Q25" s="49"/>
      <c r="R25" s="79">
        <f>O25*Q25/100</f>
        <v>0</v>
      </c>
      <c r="S25" s="79">
        <f>F25</f>
        <v>0</v>
      </c>
      <c r="T25" s="65">
        <f>O25+P25+R25</f>
        <v>0</v>
      </c>
    </row>
    <row r="26" spans="1:20" s="111" customFormat="1" ht="15">
      <c r="A26" s="97"/>
      <c r="B26" s="97" t="s">
        <v>84</v>
      </c>
      <c r="C26" s="97" t="s">
        <v>204</v>
      </c>
      <c r="D26" s="97" t="s">
        <v>172</v>
      </c>
      <c r="E26" s="52" t="s">
        <v>168</v>
      </c>
      <c r="F26" s="52"/>
      <c r="G26" s="52">
        <v>6104</v>
      </c>
      <c r="H26" s="39">
        <v>0.1</v>
      </c>
      <c r="I26" s="39"/>
      <c r="J26" s="39"/>
      <c r="K26" s="39">
        <f>G26*(1+H26+I26+J26)</f>
        <v>6714.400000000001</v>
      </c>
      <c r="L26" s="91">
        <f t="shared" si="7"/>
        <v>6714</v>
      </c>
      <c r="M26" s="39"/>
      <c r="N26" s="49">
        <f>ROUND(L26*M26,2)</f>
        <v>0</v>
      </c>
      <c r="O26" s="65">
        <f>ROUND(N26*F26,2)</f>
        <v>0</v>
      </c>
      <c r="P26" s="49"/>
      <c r="Q26" s="49"/>
      <c r="R26" s="49">
        <f>O26*Q26/100</f>
        <v>0</v>
      </c>
      <c r="S26" s="49">
        <f>F26</f>
        <v>0</v>
      </c>
      <c r="T26" s="108">
        <f>O26+P26+R26</f>
        <v>0</v>
      </c>
    </row>
    <row r="27" spans="1:20" s="111" customFormat="1" ht="15">
      <c r="A27" s="97" t="s">
        <v>74</v>
      </c>
      <c r="B27" s="97" t="s">
        <v>84</v>
      </c>
      <c r="C27" s="97" t="s">
        <v>204</v>
      </c>
      <c r="D27" s="97" t="s">
        <v>172</v>
      </c>
      <c r="E27" s="52" t="s">
        <v>168</v>
      </c>
      <c r="F27" s="52"/>
      <c r="G27" s="52">
        <v>6104</v>
      </c>
      <c r="H27" s="39">
        <v>0.1</v>
      </c>
      <c r="I27" s="39"/>
      <c r="J27" s="39"/>
      <c r="K27" s="39">
        <f>G27*(1+H27+I27+J27)</f>
        <v>6714.400000000001</v>
      </c>
      <c r="L27" s="91">
        <f t="shared" si="7"/>
        <v>6714</v>
      </c>
      <c r="M27" s="39"/>
      <c r="N27" s="49">
        <f>ROUND(L27*M27,2)</f>
        <v>0</v>
      </c>
      <c r="O27" s="65">
        <f>ROUND(N27*F27,2)</f>
        <v>0</v>
      </c>
      <c r="P27" s="49"/>
      <c r="Q27" s="49"/>
      <c r="R27" s="49">
        <f>O27*Q27/100</f>
        <v>0</v>
      </c>
      <c r="S27" s="49">
        <f>F27</f>
        <v>0</v>
      </c>
      <c r="T27" s="108">
        <f>O27+P27+R27</f>
        <v>0</v>
      </c>
    </row>
    <row r="28" spans="1:24" ht="15">
      <c r="A28" s="99"/>
      <c r="B28" s="99"/>
      <c r="C28" s="99"/>
      <c r="D28" s="74" t="s">
        <v>152</v>
      </c>
      <c r="E28" s="98"/>
      <c r="F28" s="75">
        <f>SUM(F25:F27)</f>
        <v>0</v>
      </c>
      <c r="G28" s="98"/>
      <c r="H28" s="98"/>
      <c r="I28" s="98"/>
      <c r="J28" s="98"/>
      <c r="K28" s="98"/>
      <c r="L28" s="66"/>
      <c r="M28" s="98"/>
      <c r="N28" s="98"/>
      <c r="O28" s="66">
        <f>SUM(O25:O27)</f>
        <v>0</v>
      </c>
      <c r="P28" s="72"/>
      <c r="Q28" s="72"/>
      <c r="R28" s="66">
        <f>SUM(R25:R26)</f>
        <v>0</v>
      </c>
      <c r="S28" s="66">
        <f>SUM(S25:S26)</f>
        <v>0</v>
      </c>
      <c r="T28" s="66">
        <f>SUM(T25:T27)</f>
        <v>0</v>
      </c>
      <c r="X28" s="133">
        <f>O24+O28+O30</f>
        <v>0</v>
      </c>
    </row>
    <row r="29" spans="1:20" s="111" customFormat="1" ht="15">
      <c r="A29" s="97" t="s">
        <v>74</v>
      </c>
      <c r="B29" s="97" t="s">
        <v>84</v>
      </c>
      <c r="C29" s="97" t="s">
        <v>203</v>
      </c>
      <c r="D29" s="97" t="s">
        <v>184</v>
      </c>
      <c r="E29" s="52" t="s">
        <v>168</v>
      </c>
      <c r="F29" s="52"/>
      <c r="G29" s="52">
        <v>6104</v>
      </c>
      <c r="H29" s="39">
        <v>0.2</v>
      </c>
      <c r="I29" s="39"/>
      <c r="J29" s="39">
        <v>0</v>
      </c>
      <c r="K29" s="39">
        <f>G29*(1+H29+I29+J29)</f>
        <v>7324.8</v>
      </c>
      <c r="L29" s="91">
        <f t="shared" si="7"/>
        <v>7325</v>
      </c>
      <c r="M29" s="39"/>
      <c r="N29" s="49">
        <f>ROUND(L29*M29,2)</f>
        <v>0</v>
      </c>
      <c r="O29" s="65">
        <f>ROUND(N29*F29,2)</f>
        <v>0</v>
      </c>
      <c r="P29" s="49"/>
      <c r="Q29" s="49"/>
      <c r="R29" s="49">
        <f>O29*Q29/100</f>
        <v>0</v>
      </c>
      <c r="S29" s="49">
        <f>F29</f>
        <v>0</v>
      </c>
      <c r="T29" s="108">
        <f>O29+P29+R29</f>
        <v>0</v>
      </c>
    </row>
    <row r="30" spans="1:20" ht="15">
      <c r="A30" s="99"/>
      <c r="B30" s="99"/>
      <c r="C30" s="99"/>
      <c r="D30" s="74" t="s">
        <v>185</v>
      </c>
      <c r="E30" s="98"/>
      <c r="F30" s="75">
        <f>SUM(F29)</f>
        <v>0</v>
      </c>
      <c r="G30" s="98"/>
      <c r="H30" s="98"/>
      <c r="I30" s="98"/>
      <c r="J30" s="98"/>
      <c r="K30" s="98"/>
      <c r="L30" s="66"/>
      <c r="M30" s="98"/>
      <c r="N30" s="98"/>
      <c r="O30" s="66">
        <f>SUM(O29)</f>
        <v>0</v>
      </c>
      <c r="P30" s="72"/>
      <c r="Q30" s="72"/>
      <c r="R30" s="66"/>
      <c r="S30" s="66">
        <f>SUM(S29)</f>
        <v>0</v>
      </c>
      <c r="T30" s="66">
        <f>O30+R30</f>
        <v>0</v>
      </c>
    </row>
    <row r="31" spans="1:30" s="111" customFormat="1" ht="34.5" customHeight="1">
      <c r="A31" s="97"/>
      <c r="B31" s="97" t="s">
        <v>167</v>
      </c>
      <c r="C31" s="97" t="s">
        <v>205</v>
      </c>
      <c r="D31" s="317" t="s">
        <v>143</v>
      </c>
      <c r="E31" s="52" t="s">
        <v>168</v>
      </c>
      <c r="F31" s="87"/>
      <c r="G31" s="52">
        <v>6104</v>
      </c>
      <c r="H31" s="39">
        <v>0.2</v>
      </c>
      <c r="I31" s="39"/>
      <c r="J31" s="39">
        <v>0</v>
      </c>
      <c r="K31" s="49">
        <f>G31*(1+H31+I31+J31)</f>
        <v>7324.8</v>
      </c>
      <c r="L31" s="91">
        <f t="shared" si="7"/>
        <v>7325</v>
      </c>
      <c r="M31" s="39"/>
      <c r="N31" s="49">
        <f>ROUND(L31*M31,2)</f>
        <v>0</v>
      </c>
      <c r="O31" s="65">
        <f>ROUND(N31*F31,2)</f>
        <v>0</v>
      </c>
      <c r="P31" s="49"/>
      <c r="Q31" s="49"/>
      <c r="R31" s="49">
        <f>O31*Q31/100</f>
        <v>0</v>
      </c>
      <c r="S31" s="49">
        <f>F31</f>
        <v>0</v>
      </c>
      <c r="T31" s="108">
        <f>O31+P31+R31</f>
        <v>0</v>
      </c>
      <c r="AD31" s="109"/>
    </row>
    <row r="32" spans="1:20" s="111" customFormat="1" ht="30.75" customHeight="1">
      <c r="A32" s="97"/>
      <c r="B32" s="97" t="s">
        <v>167</v>
      </c>
      <c r="C32" s="97" t="s">
        <v>206</v>
      </c>
      <c r="D32" s="317" t="s">
        <v>143</v>
      </c>
      <c r="E32" s="52" t="s">
        <v>50</v>
      </c>
      <c r="F32" s="87"/>
      <c r="G32" s="52">
        <v>6104</v>
      </c>
      <c r="H32" s="39">
        <v>0.2</v>
      </c>
      <c r="I32" s="39"/>
      <c r="J32" s="39">
        <v>0.3</v>
      </c>
      <c r="K32" s="49">
        <f>G32*(1+H32+I32+J32)</f>
        <v>9156</v>
      </c>
      <c r="L32" s="91">
        <f t="shared" si="7"/>
        <v>9156</v>
      </c>
      <c r="M32" s="39"/>
      <c r="N32" s="49">
        <f>ROUND(L32*M32,2)</f>
        <v>0</v>
      </c>
      <c r="O32" s="65">
        <f>ROUND(N32*F32,2)</f>
        <v>0</v>
      </c>
      <c r="P32" s="49"/>
      <c r="Q32" s="49"/>
      <c r="R32" s="49">
        <f>O32*Q32/100</f>
        <v>0</v>
      </c>
      <c r="S32" s="49">
        <f>F32</f>
        <v>0</v>
      </c>
      <c r="T32" s="108">
        <f>O32+P32+R32</f>
        <v>0</v>
      </c>
    </row>
    <row r="33" spans="1:20" s="111" customFormat="1" ht="30" customHeight="1">
      <c r="A33" s="97"/>
      <c r="B33" s="97" t="s">
        <v>84</v>
      </c>
      <c r="C33" s="97" t="s">
        <v>207</v>
      </c>
      <c r="D33" s="317" t="s">
        <v>143</v>
      </c>
      <c r="E33" s="52" t="s">
        <v>168</v>
      </c>
      <c r="F33" s="87"/>
      <c r="G33" s="52">
        <v>6104</v>
      </c>
      <c r="H33" s="39">
        <v>0.2</v>
      </c>
      <c r="I33" s="39"/>
      <c r="J33" s="39">
        <v>0</v>
      </c>
      <c r="K33" s="49">
        <f>G33*(1+H33+I33+J33)</f>
        <v>7324.8</v>
      </c>
      <c r="L33" s="91">
        <f t="shared" si="7"/>
        <v>7325</v>
      </c>
      <c r="M33" s="39"/>
      <c r="N33" s="49">
        <f>ROUND(L33*M33,2)</f>
        <v>0</v>
      </c>
      <c r="O33" s="65">
        <f>ROUND(N33*F33,2)</f>
        <v>0</v>
      </c>
      <c r="P33" s="49"/>
      <c r="Q33" s="49"/>
      <c r="R33" s="49">
        <f>O33*Q33/100</f>
        <v>0</v>
      </c>
      <c r="S33" s="49">
        <f>F33</f>
        <v>0</v>
      </c>
      <c r="T33" s="108">
        <f>O33+P33+R33</f>
        <v>0</v>
      </c>
    </row>
    <row r="34" spans="1:20" s="111" customFormat="1" ht="32.25" customHeight="1">
      <c r="A34" s="97"/>
      <c r="B34" s="97" t="s">
        <v>84</v>
      </c>
      <c r="C34" s="97" t="s">
        <v>208</v>
      </c>
      <c r="D34" s="317" t="s">
        <v>143</v>
      </c>
      <c r="E34" s="52">
        <v>0</v>
      </c>
      <c r="F34" s="87"/>
      <c r="G34" s="52">
        <v>6104</v>
      </c>
      <c r="H34" s="39">
        <v>0.2</v>
      </c>
      <c r="I34" s="39">
        <v>0</v>
      </c>
      <c r="J34" s="39">
        <v>0.3</v>
      </c>
      <c r="K34" s="49">
        <f>G34*(1+H34+I34+J34)</f>
        <v>9156</v>
      </c>
      <c r="L34" s="91">
        <f t="shared" si="7"/>
        <v>9156</v>
      </c>
      <c r="M34" s="39"/>
      <c r="N34" s="49">
        <f>ROUND(L34*M34,2)</f>
        <v>0</v>
      </c>
      <c r="O34" s="65">
        <f>ROUND(N34*F34,2)</f>
        <v>0</v>
      </c>
      <c r="P34" s="49"/>
      <c r="Q34" s="49"/>
      <c r="R34" s="49">
        <f>O34*Q34/100</f>
        <v>0</v>
      </c>
      <c r="S34" s="49">
        <f>F34</f>
        <v>0</v>
      </c>
      <c r="T34" s="108">
        <f>O34+P34+R34</f>
        <v>0</v>
      </c>
    </row>
    <row r="35" spans="1:20" s="111" customFormat="1" ht="32.25" customHeight="1">
      <c r="A35" s="97"/>
      <c r="B35" s="97"/>
      <c r="C35" s="97" t="s">
        <v>208</v>
      </c>
      <c r="D35" s="317" t="s">
        <v>143</v>
      </c>
      <c r="E35" s="52">
        <v>0</v>
      </c>
      <c r="F35" s="87"/>
      <c r="G35" s="52">
        <v>6104</v>
      </c>
      <c r="H35" s="39">
        <v>0.2</v>
      </c>
      <c r="I35" s="39">
        <v>0</v>
      </c>
      <c r="J35" s="39">
        <v>0.3</v>
      </c>
      <c r="K35" s="49">
        <f>G35*(1+H35+I35+J35)</f>
        <v>9156</v>
      </c>
      <c r="L35" s="91">
        <f t="shared" si="7"/>
        <v>9156</v>
      </c>
      <c r="M35" s="39"/>
      <c r="N35" s="49">
        <f>ROUND(L35*M35,2)</f>
        <v>0</v>
      </c>
      <c r="O35" s="65">
        <f>ROUND(N35*F35,2)</f>
        <v>0</v>
      </c>
      <c r="P35" s="49"/>
      <c r="Q35" s="49"/>
      <c r="R35" s="49">
        <f>O35*Q35/100</f>
        <v>0</v>
      </c>
      <c r="S35" s="49">
        <f>F35</f>
        <v>0</v>
      </c>
      <c r="T35" s="108">
        <f>O35+P35+R35</f>
        <v>0</v>
      </c>
    </row>
    <row r="36" spans="1:24" s="30" customFormat="1" ht="14.25">
      <c r="A36" s="74"/>
      <c r="B36" s="74"/>
      <c r="C36" s="74"/>
      <c r="D36" s="74" t="s">
        <v>101</v>
      </c>
      <c r="E36" s="75"/>
      <c r="F36" s="75">
        <f>SUM(F31:F35)</f>
        <v>0</v>
      </c>
      <c r="G36" s="98"/>
      <c r="H36" s="75"/>
      <c r="I36" s="75"/>
      <c r="J36" s="75"/>
      <c r="K36" s="75"/>
      <c r="L36" s="66"/>
      <c r="M36" s="75"/>
      <c r="N36" s="98"/>
      <c r="O36" s="66">
        <f>SUM(O31:O35)</f>
        <v>0</v>
      </c>
      <c r="P36" s="72"/>
      <c r="Q36" s="72"/>
      <c r="R36" s="66">
        <f>SUM(R31:R33)</f>
        <v>0</v>
      </c>
      <c r="S36" s="66">
        <f>SUM(S31:S35)</f>
        <v>0</v>
      </c>
      <c r="T36" s="66">
        <f>SUM(T31:T35)</f>
        <v>0</v>
      </c>
      <c r="W36" s="30" t="s">
        <v>291</v>
      </c>
      <c r="X36" s="188" t="e">
        <f>O36/F36</f>
        <v>#DIV/0!</v>
      </c>
    </row>
    <row r="37" spans="1:25" s="110" customFormat="1" ht="15">
      <c r="A37" s="97"/>
      <c r="B37" s="97"/>
      <c r="C37" s="97" t="s">
        <v>288</v>
      </c>
      <c r="D37" s="97" t="s">
        <v>96</v>
      </c>
      <c r="E37" s="52">
        <v>0</v>
      </c>
      <c r="F37" s="52"/>
      <c r="G37" s="52">
        <v>6104</v>
      </c>
      <c r="H37" s="39">
        <v>0.2</v>
      </c>
      <c r="I37" s="39">
        <v>0</v>
      </c>
      <c r="J37" s="39">
        <v>0</v>
      </c>
      <c r="K37" s="49">
        <f>G37*(1+H37+I37+J37)</f>
        <v>7324.8</v>
      </c>
      <c r="L37" s="91">
        <f t="shared" si="7"/>
        <v>7325</v>
      </c>
      <c r="M37" s="39"/>
      <c r="N37" s="49">
        <f>ROUND(L37*M37,2)</f>
        <v>0</v>
      </c>
      <c r="O37" s="65">
        <f>ROUND(N37*F37,2)</f>
        <v>0</v>
      </c>
      <c r="P37" s="49"/>
      <c r="Q37" s="49"/>
      <c r="R37" s="49">
        <f>O37*Q37/100</f>
        <v>0</v>
      </c>
      <c r="S37" s="49">
        <f>F37</f>
        <v>0</v>
      </c>
      <c r="T37" s="108">
        <f>O37+P37+R37</f>
        <v>0</v>
      </c>
      <c r="Y37" s="112"/>
    </row>
    <row r="38" spans="1:25" s="111" customFormat="1" ht="15">
      <c r="A38" s="97"/>
      <c r="B38" s="97" t="s">
        <v>84</v>
      </c>
      <c r="C38" s="97" t="s">
        <v>204</v>
      </c>
      <c r="D38" s="97" t="s">
        <v>96</v>
      </c>
      <c r="E38" s="52">
        <v>0</v>
      </c>
      <c r="F38" s="52"/>
      <c r="G38" s="52">
        <v>6104</v>
      </c>
      <c r="H38" s="39">
        <v>0.1</v>
      </c>
      <c r="I38" s="39">
        <v>0</v>
      </c>
      <c r="J38" s="39">
        <v>0</v>
      </c>
      <c r="K38" s="49">
        <f>G38*(1+H38+I38+J38)</f>
        <v>6714.400000000001</v>
      </c>
      <c r="L38" s="91">
        <f t="shared" si="7"/>
        <v>6714</v>
      </c>
      <c r="M38" s="39"/>
      <c r="N38" s="49">
        <f>ROUND(L38*M38,2)</f>
        <v>0</v>
      </c>
      <c r="O38" s="65">
        <f>ROUND(N38*F38,2)</f>
        <v>0</v>
      </c>
      <c r="P38" s="49"/>
      <c r="Q38" s="49"/>
      <c r="R38" s="49">
        <f>O38*Q38/100</f>
        <v>0</v>
      </c>
      <c r="S38" s="49">
        <f>F38</f>
        <v>0</v>
      </c>
      <c r="T38" s="108">
        <f>O38+P38+R38</f>
        <v>0</v>
      </c>
      <c r="Y38" s="109"/>
    </row>
    <row r="39" spans="1:25" s="110" customFormat="1" ht="15">
      <c r="A39" s="97"/>
      <c r="B39" s="97" t="s">
        <v>84</v>
      </c>
      <c r="C39" s="97"/>
      <c r="D39" s="97" t="s">
        <v>96</v>
      </c>
      <c r="E39" s="52"/>
      <c r="F39" s="52"/>
      <c r="G39" s="52">
        <v>6104</v>
      </c>
      <c r="H39" s="39">
        <v>0.02</v>
      </c>
      <c r="I39" s="39">
        <v>0</v>
      </c>
      <c r="J39" s="39">
        <v>0</v>
      </c>
      <c r="K39" s="49">
        <f>G39*(1+H39+I39+J39)</f>
        <v>6226.08</v>
      </c>
      <c r="L39" s="91">
        <f t="shared" si="7"/>
        <v>6226</v>
      </c>
      <c r="M39" s="39"/>
      <c r="N39" s="49">
        <f>ROUND(L39*M39,2)</f>
        <v>0</v>
      </c>
      <c r="O39" s="65">
        <f>ROUND(N39*F39,2)</f>
        <v>0</v>
      </c>
      <c r="P39" s="49"/>
      <c r="Q39" s="49"/>
      <c r="R39" s="49">
        <f>O39*Q39/100</f>
        <v>0</v>
      </c>
      <c r="S39" s="49">
        <f>F39</f>
        <v>0</v>
      </c>
      <c r="T39" s="108">
        <f>O39+P39+R39</f>
        <v>0</v>
      </c>
      <c r="Y39" s="62"/>
    </row>
    <row r="40" spans="1:25" s="111" customFormat="1" ht="15">
      <c r="A40" s="97"/>
      <c r="B40" s="97" t="s">
        <v>84</v>
      </c>
      <c r="C40" s="97"/>
      <c r="D40" s="97" t="s">
        <v>96</v>
      </c>
      <c r="E40" s="52"/>
      <c r="F40" s="52"/>
      <c r="G40" s="52">
        <v>6104</v>
      </c>
      <c r="H40" s="39">
        <v>0.02</v>
      </c>
      <c r="I40" s="39">
        <v>0</v>
      </c>
      <c r="J40" s="39">
        <v>0</v>
      </c>
      <c r="K40" s="39">
        <f>G40*(1+H40+I40+J40)</f>
        <v>6226.08</v>
      </c>
      <c r="L40" s="91">
        <f t="shared" si="7"/>
        <v>6226</v>
      </c>
      <c r="M40" s="39"/>
      <c r="N40" s="49">
        <f>ROUND(L40*M40,2)</f>
        <v>0</v>
      </c>
      <c r="O40" s="65">
        <f>ROUND(N40*F40,2)</f>
        <v>0</v>
      </c>
      <c r="P40" s="49"/>
      <c r="Q40" s="49"/>
      <c r="R40" s="49">
        <f>O40*Q40/100</f>
        <v>0</v>
      </c>
      <c r="S40" s="49">
        <f>F40</f>
        <v>0</v>
      </c>
      <c r="T40" s="108">
        <f>O40+P40+R40</f>
        <v>0</v>
      </c>
      <c r="U40" s="109"/>
      <c r="V40" s="109"/>
      <c r="W40" s="109"/>
      <c r="Y40" s="62"/>
    </row>
    <row r="41" spans="1:25" ht="14.25">
      <c r="A41" s="74" t="s">
        <v>97</v>
      </c>
      <c r="B41" s="74"/>
      <c r="C41" s="74"/>
      <c r="D41" s="74" t="s">
        <v>96</v>
      </c>
      <c r="E41" s="75"/>
      <c r="F41" s="75">
        <f>SUM(F37:F40)</f>
        <v>0</v>
      </c>
      <c r="G41" s="75"/>
      <c r="H41" s="75"/>
      <c r="I41" s="75"/>
      <c r="J41" s="75"/>
      <c r="K41" s="75"/>
      <c r="L41" s="66"/>
      <c r="M41" s="75"/>
      <c r="N41" s="75"/>
      <c r="O41" s="66">
        <f>SUM(O37:O40)</f>
        <v>0</v>
      </c>
      <c r="P41" s="72"/>
      <c r="Q41" s="72"/>
      <c r="R41" s="66">
        <f>R22</f>
        <v>0</v>
      </c>
      <c r="S41" s="75">
        <f>SUM(S37:S40)</f>
        <v>0</v>
      </c>
      <c r="T41" s="75">
        <f>SUM(T37:T40)</f>
        <v>0</v>
      </c>
      <c r="Y41" s="50"/>
    </row>
    <row r="42" spans="1:25" ht="12.75">
      <c r="A42" s="75" t="s">
        <v>100</v>
      </c>
      <c r="B42" s="75"/>
      <c r="C42" s="75"/>
      <c r="D42" s="75"/>
      <c r="E42" s="75"/>
      <c r="F42" s="85">
        <f>F18+F22+F24+F28+F30+F36+F41</f>
        <v>0</v>
      </c>
      <c r="G42" s="75"/>
      <c r="H42" s="75"/>
      <c r="I42" s="75"/>
      <c r="J42" s="75"/>
      <c r="K42" s="75"/>
      <c r="L42" s="66"/>
      <c r="M42" s="75"/>
      <c r="N42" s="75"/>
      <c r="O42" s="85">
        <f aca="true" t="shared" si="8" ref="O42:T42">O18+O22+O24+O28+O30+O36+O41</f>
        <v>0</v>
      </c>
      <c r="P42" s="85">
        <f t="shared" si="8"/>
        <v>0</v>
      </c>
      <c r="Q42" s="85">
        <f t="shared" si="8"/>
        <v>0</v>
      </c>
      <c r="R42" s="85">
        <f t="shared" si="8"/>
        <v>0</v>
      </c>
      <c r="S42" s="85">
        <f t="shared" si="8"/>
        <v>0</v>
      </c>
      <c r="T42" s="85">
        <f t="shared" si="8"/>
        <v>0</v>
      </c>
      <c r="Y42" s="29">
        <f>SUM(Y39:Y40)</f>
        <v>0</v>
      </c>
    </row>
    <row r="44" spans="1:20" s="30" customFormat="1" ht="24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M44" s="29"/>
      <c r="N44" s="29" t="s">
        <v>192</v>
      </c>
      <c r="O44" s="50">
        <v>0</v>
      </c>
      <c r="P44" s="50"/>
      <c r="Q44" s="50"/>
      <c r="R44" s="29">
        <v>0</v>
      </c>
      <c r="S44" s="29"/>
      <c r="T44" s="29"/>
    </row>
    <row r="45" spans="1:20" s="30" customFormat="1" ht="12.75">
      <c r="A45" s="116" t="s">
        <v>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M45" s="29"/>
      <c r="N45" s="29" t="s">
        <v>223</v>
      </c>
      <c r="O45" s="135">
        <f>O42</f>
        <v>0</v>
      </c>
      <c r="P45" s="50"/>
      <c r="Q45" s="50"/>
      <c r="R45" s="135">
        <f>R42</f>
        <v>0</v>
      </c>
      <c r="S45" s="29"/>
      <c r="T45" s="29"/>
    </row>
    <row r="47" spans="1:11" ht="23.25" customHeight="1">
      <c r="A47" s="29" t="s">
        <v>240</v>
      </c>
      <c r="K47" s="133" t="e">
        <f>O36/F36</f>
        <v>#DIV/0!</v>
      </c>
    </row>
  </sheetData>
  <sheetProtection/>
  <mergeCells count="3">
    <mergeCell ref="R3:S3"/>
    <mergeCell ref="A6:O6"/>
    <mergeCell ref="C2:L2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Краснер Вячеслав Сергеевич</cp:lastModifiedBy>
  <cp:lastPrinted>2022-03-21T08:17:29Z</cp:lastPrinted>
  <dcterms:created xsi:type="dcterms:W3CDTF">2011-09-05T10:46:18Z</dcterms:created>
  <dcterms:modified xsi:type="dcterms:W3CDTF">2022-08-01T13:02:07Z</dcterms:modified>
  <cp:category/>
  <cp:version/>
  <cp:contentType/>
  <cp:contentStatus/>
</cp:coreProperties>
</file>